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I:\Service_Ass_Qualité\M-MEMENTO\Annexes C5\"/>
    </mc:Choice>
  </mc:AlternateContent>
  <xr:revisionPtr revIDLastSave="0" documentId="8_{B4CA6764-9062-4462-8AA5-47BA32B8307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4 (x 13 mois)  " sheetId="6" r:id="rId1"/>
    <sheet name="2024 (x 12 mois)" sheetId="8" r:id="rId2"/>
  </sheets>
  <definedNames>
    <definedName name="TAUX">#REF!</definedName>
    <definedName name="_xlnm.Print_Area" localSheetId="1">'2024 (x 12 mois)'!$A$1:$D$34</definedName>
    <definedName name="_xlnm.Print_Area" localSheetId="0">'2024 (x 13 mois)  '!$A$1:$E$34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6" l="1"/>
  <c r="B11" i="8" l="1"/>
  <c r="B28" i="8" l="1"/>
  <c r="B29" i="8" s="1"/>
  <c r="B28" i="6"/>
  <c r="C17" i="8"/>
  <c r="C18" i="8"/>
  <c r="C19" i="8"/>
  <c r="B14" i="8"/>
  <c r="C21" i="8"/>
  <c r="C22" i="8"/>
  <c r="C17" i="6"/>
  <c r="C18" i="6"/>
  <c r="C19" i="6"/>
  <c r="B14" i="6"/>
  <c r="C21" i="6"/>
  <c r="C22" i="6"/>
  <c r="C23" i="8" l="1"/>
  <c r="B30" i="8"/>
  <c r="B31" i="8" s="1"/>
  <c r="B32" i="8" s="1"/>
  <c r="B33" i="8" s="1"/>
  <c r="B34" i="8" s="1"/>
  <c r="B29" i="6"/>
  <c r="B38" i="8" l="1"/>
  <c r="B37" i="8" s="1"/>
  <c r="C23" i="6"/>
  <c r="B30" i="6"/>
  <c r="B31" i="6" l="1"/>
  <c r="B32" i="6" s="1"/>
  <c r="B33" i="6" s="1"/>
  <c r="B34" i="6" l="1"/>
  <c r="B38" i="6" s="1"/>
  <c r="B37" i="6" s="1"/>
</calcChain>
</file>

<file path=xl/sharedStrings.xml><?xml version="1.0" encoding="utf-8"?>
<sst xmlns="http://schemas.openxmlformats.org/spreadsheetml/2006/main" count="63" uniqueCount="37">
  <si>
    <t>TAUX</t>
  </si>
  <si>
    <t>Coût Chômage</t>
  </si>
  <si>
    <t xml:space="preserve"> = Donnée à introduire manuellement</t>
  </si>
  <si>
    <t>Assurance accident professionnels</t>
  </si>
  <si>
    <t>Plafond pour calcul cotisations chômage et LAA</t>
  </si>
  <si>
    <t>MONTANT</t>
  </si>
  <si>
    <t>Part du salaire excédant le plafond</t>
  </si>
  <si>
    <r>
      <t xml:space="preserve">Charges patronales mensuelles
</t>
    </r>
    <r>
      <rPr>
        <sz val="12"/>
        <rFont val="Calibri"/>
        <family val="2"/>
        <scheme val="minor"/>
      </rPr>
      <t>(x 13 mois)</t>
    </r>
  </si>
  <si>
    <t>Traitement déterminant CPEG (s/taux d'activité)</t>
  </si>
  <si>
    <t>Salairre brut annuel</t>
  </si>
  <si>
    <t>CALCUL DES COTISATIONS DE LA CPEG</t>
  </si>
  <si>
    <t>COÛT TOTAL DU SALAIRE ANNUEL</t>
  </si>
  <si>
    <t>Salaire brut annuel</t>
  </si>
  <si>
    <t>Deduction coordination maximale</t>
  </si>
  <si>
    <t>Rente AVS max</t>
  </si>
  <si>
    <t>Déduction de coordination</t>
  </si>
  <si>
    <t>Salaire brut annuel ramené à 100%</t>
  </si>
  <si>
    <r>
      <t xml:space="preserve">Charges patronales mensuelles
</t>
    </r>
    <r>
      <rPr>
        <sz val="12"/>
        <rFont val="Calibri"/>
        <family val="2"/>
        <scheme val="minor"/>
      </rPr>
      <t>(x 12 mois)</t>
    </r>
  </si>
  <si>
    <r>
      <rPr>
        <b/>
        <sz val="12"/>
        <rFont val="Calibri"/>
        <family val="2"/>
        <scheme val="minor"/>
      </rPr>
      <t>Taux d'activité</t>
    </r>
    <r>
      <rPr>
        <sz val="12"/>
        <rFont val="Calibri"/>
        <family val="2"/>
        <scheme val="minor"/>
      </rPr>
      <t xml:space="preserve"> (en %) </t>
    </r>
    <r>
      <rPr>
        <i/>
        <sz val="12"/>
        <rFont val="Calibri"/>
        <family val="2"/>
        <scheme val="minor"/>
      </rPr>
      <t>choix dans menu déroulant</t>
    </r>
  </si>
  <si>
    <r>
      <t>Salaire brut mensuel</t>
    </r>
    <r>
      <rPr>
        <sz val="12"/>
        <rFont val="Calibri"/>
        <family val="2"/>
        <scheme val="minor"/>
      </rPr>
      <t xml:space="preserve"> ( x 13 mois )</t>
    </r>
  </si>
  <si>
    <r>
      <t>Salaire brut mensuel</t>
    </r>
    <r>
      <rPr>
        <sz val="12"/>
        <rFont val="Calibri"/>
        <family val="2"/>
        <scheme val="minor"/>
      </rPr>
      <t xml:space="preserve"> ( x 12 mois )</t>
    </r>
  </si>
  <si>
    <r>
      <t>Total  charges (sans CPEG)</t>
    </r>
    <r>
      <rPr>
        <sz val="12"/>
        <rFont val="Calibri"/>
        <family val="2"/>
        <scheme val="minor"/>
      </rPr>
      <t xml:space="preserve">  x 12 mois</t>
    </r>
  </si>
  <si>
    <r>
      <t>Total  charges (sans CPEG)</t>
    </r>
    <r>
      <rPr>
        <sz val="12"/>
        <rFont val="Calibri"/>
        <family val="2"/>
        <scheme val="minor"/>
      </rPr>
      <t xml:space="preserve">  x 13 mois</t>
    </r>
  </si>
  <si>
    <t>COÛT TOTAL DU SALAIRE MENSUEL s/12 mois</t>
  </si>
  <si>
    <r>
      <t xml:space="preserve">Cotisations CPEG du collaborateur ( </t>
    </r>
    <r>
      <rPr>
        <b/>
        <sz val="11"/>
        <color rgb="FFFF0000"/>
        <rFont val="Calibri"/>
        <family val="2"/>
        <scheme val="minor"/>
      </rPr>
      <t xml:space="preserve">9 % </t>
    </r>
    <r>
      <rPr>
        <sz val="11"/>
        <rFont val="Calibri"/>
        <family val="2"/>
        <scheme val="minor"/>
      </rPr>
      <t>) /mensuelles</t>
    </r>
  </si>
  <si>
    <r>
      <t>Cotisations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CPEG de l'employeur ( </t>
    </r>
    <r>
      <rPr>
        <b/>
        <sz val="11"/>
        <color rgb="FFFF0000"/>
        <rFont val="Calibri"/>
        <family val="2"/>
        <scheme val="minor"/>
      </rPr>
      <t>18 %</t>
    </r>
    <r>
      <rPr>
        <sz val="11"/>
        <rFont val="Calibri"/>
        <family val="2"/>
        <scheme val="minor"/>
      </rPr>
      <t xml:space="preserve"> ) / mensuelles</t>
    </r>
  </si>
  <si>
    <r>
      <t>Cotisations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CPEG de l'employeur ( </t>
    </r>
    <r>
      <rPr>
        <b/>
        <sz val="11"/>
        <color rgb="FFFF0000"/>
        <rFont val="Calibri"/>
        <family val="2"/>
        <scheme val="minor"/>
      </rPr>
      <t>18 %</t>
    </r>
    <r>
      <rPr>
        <sz val="11"/>
        <rFont val="Calibri"/>
        <family val="2"/>
        <scheme val="minor"/>
      </rPr>
      <t xml:space="preserve"> ) annuelles</t>
    </r>
  </si>
  <si>
    <t>Rente individuelle AVS max</t>
  </si>
  <si>
    <t>Coût AVS (+ frais administratifs)</t>
  </si>
  <si>
    <r>
      <t xml:space="preserve">Pour le personnel rémunéré par des Fonds provenant du budget de l'Etat ( </t>
    </r>
    <r>
      <rPr>
        <b/>
        <u/>
        <sz val="14"/>
        <color rgb="FFC40062"/>
        <rFont val="Calibri"/>
        <family val="2"/>
        <scheme val="minor"/>
      </rPr>
      <t>DIP</t>
    </r>
    <r>
      <rPr>
        <b/>
        <sz val="14"/>
        <color rgb="FFC40062"/>
        <rFont val="Calibri"/>
        <family val="2"/>
        <scheme val="minor"/>
      </rPr>
      <t xml:space="preserve"> )</t>
    </r>
  </si>
  <si>
    <t xml:space="preserve"> </t>
  </si>
  <si>
    <r>
      <t xml:space="preserve">ESTIMATION DU COUT DES CHARGES PATRONALES
Salaire annuel sur </t>
    </r>
    <r>
      <rPr>
        <b/>
        <u/>
        <sz val="14"/>
        <rFont val="Calibri"/>
        <family val="2"/>
        <scheme val="minor"/>
      </rPr>
      <t>12 mois</t>
    </r>
    <r>
      <rPr>
        <b/>
        <sz val="14"/>
        <rFont val="Calibri"/>
        <family val="2"/>
        <scheme val="minor"/>
      </rPr>
      <t xml:space="preserve"> (candocs)
+ charges employeur</t>
    </r>
  </si>
  <si>
    <r>
      <t xml:space="preserve">ESTIMATION DU COUT DES CHARGES PATRONALES
Salaire annuel sur </t>
    </r>
    <r>
      <rPr>
        <b/>
        <u/>
        <sz val="14"/>
        <rFont val="Calibri"/>
        <family val="2"/>
        <scheme val="minor"/>
      </rPr>
      <t>13 mois</t>
    </r>
    <r>
      <rPr>
        <b/>
        <sz val="14"/>
        <rFont val="Calibri"/>
        <family val="2"/>
        <scheme val="minor"/>
      </rPr>
      <t xml:space="preserve">
+ charges employeur</t>
    </r>
  </si>
  <si>
    <r>
      <t xml:space="preserve">Coût Chômage (part salaire excedant 12'350.-)  </t>
    </r>
    <r>
      <rPr>
        <b/>
        <sz val="11"/>
        <color theme="1"/>
        <rFont val="Calibri"/>
        <family val="2"/>
        <scheme val="minor"/>
      </rPr>
      <t>SUPPRIME</t>
    </r>
  </si>
  <si>
    <t>Coût Maternité Genevoise</t>
  </si>
  <si>
    <t xml:space="preserve">mémento 0253    </t>
  </si>
  <si>
    <t>Allo. Fam. 2.28% (+ cotisation "petite enfance 0.07%)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</si>
</sst>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000%"/>
  </numFmts>
  <fonts count="21" x14ac:knownFonts="1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rgb="FF1F497D"/>
      <name val="Calibri"/>
      <family val="2"/>
    </font>
    <font>
      <i/>
      <sz val="12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rgb="FFC40062"/>
      <name val="Calibri"/>
      <family val="2"/>
      <scheme val="minor"/>
    </font>
    <font>
      <b/>
      <u/>
      <sz val="14"/>
      <color rgb="FFC4006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auto="1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 style="thin">
        <color theme="1"/>
      </left>
      <right style="medium">
        <color rgb="FFFF0000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medium">
        <color rgb="FFFF0000"/>
      </top>
      <bottom/>
      <diagonal/>
    </border>
    <border>
      <left style="thin">
        <color theme="1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theme="1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rgb="FFFF0000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medium">
        <color rgb="FFFF0000"/>
      </top>
      <bottom style="thin">
        <color theme="1"/>
      </bottom>
      <diagonal/>
    </border>
    <border>
      <left/>
      <right style="thin">
        <color auto="1"/>
      </right>
      <top style="medium">
        <color rgb="FFFF0000"/>
      </top>
      <bottom style="thin">
        <color theme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2" fontId="4" fillId="0" borderId="0" xfId="0" applyNumberFormat="1" applyFont="1"/>
    <xf numFmtId="4" fontId="4" fillId="0" borderId="0" xfId="0" applyNumberFormat="1" applyFont="1" applyAlignment="1">
      <alignment horizontal="center"/>
    </xf>
    <xf numFmtId="164" fontId="6" fillId="0" borderId="0" xfId="0" applyNumberFormat="1" applyFont="1"/>
    <xf numFmtId="4" fontId="4" fillId="0" borderId="0" xfId="0" applyNumberFormat="1" applyFont="1"/>
    <xf numFmtId="0" fontId="5" fillId="0" borderId="0" xfId="0" applyFont="1"/>
    <xf numFmtId="0" fontId="3" fillId="0" borderId="0" xfId="0" applyFont="1"/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4" fillId="0" borderId="22" xfId="0" applyFont="1" applyBorder="1"/>
    <xf numFmtId="0" fontId="4" fillId="0" borderId="10" xfId="0" applyFont="1" applyBorder="1"/>
    <xf numFmtId="0" fontId="2" fillId="4" borderId="12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3" fillId="2" borderId="9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center" vertical="center"/>
    </xf>
    <xf numFmtId="0" fontId="2" fillId="4" borderId="19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11" fillId="0" borderId="0" xfId="0" applyFont="1"/>
    <xf numFmtId="0" fontId="3" fillId="4" borderId="12" xfId="0" applyFont="1" applyFill="1" applyBorder="1" applyAlignment="1">
      <alignment vertical="center"/>
    </xf>
    <xf numFmtId="0" fontId="2" fillId="5" borderId="25" xfId="0" applyFont="1" applyFill="1" applyBorder="1" applyAlignment="1">
      <alignment vertical="center" wrapText="1"/>
    </xf>
    <xf numFmtId="0" fontId="2" fillId="5" borderId="26" xfId="0" applyFont="1" applyFill="1" applyBorder="1" applyAlignment="1">
      <alignment horizontal="center" vertical="center"/>
    </xf>
    <xf numFmtId="164" fontId="8" fillId="5" borderId="27" xfId="0" applyNumberFormat="1" applyFont="1" applyFill="1" applyBorder="1" applyAlignment="1">
      <alignment horizontal="center" vertical="center"/>
    </xf>
    <xf numFmtId="4" fontId="4" fillId="4" borderId="29" xfId="0" applyNumberFormat="1" applyFont="1" applyFill="1" applyBorder="1" applyAlignment="1">
      <alignment horizontal="center" vertical="center"/>
    </xf>
    <xf numFmtId="4" fontId="4" fillId="4" borderId="31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4" fillId="4" borderId="30" xfId="0" applyFont="1" applyFill="1" applyBorder="1" applyAlignment="1">
      <alignment horizontal="left" vertical="center" wrapText="1"/>
    </xf>
    <xf numFmtId="0" fontId="4" fillId="4" borderId="28" xfId="0" applyFont="1" applyFill="1" applyBorder="1" applyAlignment="1">
      <alignment horizontal="left" vertical="center" wrapText="1"/>
    </xf>
    <xf numFmtId="0" fontId="4" fillId="4" borderId="30" xfId="0" applyFont="1" applyFill="1" applyBorder="1" applyAlignment="1">
      <alignment horizontal="left" vertical="center"/>
    </xf>
    <xf numFmtId="0" fontId="4" fillId="4" borderId="32" xfId="0" applyFont="1" applyFill="1" applyBorder="1" applyAlignment="1">
      <alignment horizontal="left" vertical="center"/>
    </xf>
    <xf numFmtId="0" fontId="4" fillId="4" borderId="39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wrapText="1"/>
    </xf>
    <xf numFmtId="0" fontId="13" fillId="0" borderId="0" xfId="0" applyFont="1" applyAlignment="1">
      <alignment vertical="center"/>
    </xf>
    <xf numFmtId="0" fontId="13" fillId="0" borderId="0" xfId="0" applyFont="1"/>
    <xf numFmtId="4" fontId="13" fillId="0" borderId="0" xfId="0" quotePrefix="1" applyNumberFormat="1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" fontId="2" fillId="2" borderId="15" xfId="0" applyNumberFormat="1" applyFont="1" applyFill="1" applyBorder="1" applyAlignment="1">
      <alignment horizontal="center" vertical="center"/>
    </xf>
    <xf numFmtId="0" fontId="4" fillId="0" borderId="44" xfId="0" applyFont="1" applyBorder="1"/>
    <xf numFmtId="0" fontId="3" fillId="4" borderId="46" xfId="0" applyFont="1" applyFill="1" applyBorder="1" applyAlignment="1">
      <alignment vertical="center"/>
    </xf>
    <xf numFmtId="0" fontId="2" fillId="4" borderId="45" xfId="0" applyFont="1" applyFill="1" applyBorder="1" applyAlignment="1">
      <alignment horizontal="left" vertical="center"/>
    </xf>
    <xf numFmtId="0" fontId="2" fillId="5" borderId="52" xfId="0" applyFont="1" applyFill="1" applyBorder="1" applyAlignment="1">
      <alignment vertical="center" wrapText="1"/>
    </xf>
    <xf numFmtId="0" fontId="2" fillId="5" borderId="53" xfId="0" applyFont="1" applyFill="1" applyBorder="1" applyAlignment="1">
      <alignment horizontal="center" vertical="center"/>
    </xf>
    <xf numFmtId="164" fontId="8" fillId="5" borderId="54" xfId="0" applyNumberFormat="1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vertical="center"/>
    </xf>
    <xf numFmtId="4" fontId="4" fillId="4" borderId="56" xfId="0" applyNumberFormat="1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vertical="center"/>
    </xf>
    <xf numFmtId="4" fontId="4" fillId="4" borderId="58" xfId="0" applyNumberFormat="1" applyFont="1" applyFill="1" applyBorder="1" applyAlignment="1">
      <alignment horizontal="center" vertical="center"/>
    </xf>
    <xf numFmtId="4" fontId="4" fillId="4" borderId="59" xfId="0" applyNumberFormat="1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left" vertical="center"/>
    </xf>
    <xf numFmtId="4" fontId="4" fillId="6" borderId="59" xfId="0" applyNumberFormat="1" applyFont="1" applyFill="1" applyBorder="1" applyAlignment="1">
      <alignment horizontal="center" vertical="center"/>
    </xf>
    <xf numFmtId="165" fontId="6" fillId="4" borderId="7" xfId="0" applyNumberFormat="1" applyFont="1" applyFill="1" applyBorder="1" applyAlignment="1">
      <alignment horizontal="center" vertical="center"/>
    </xf>
    <xf numFmtId="165" fontId="6" fillId="4" borderId="5" xfId="0" applyNumberFormat="1" applyFont="1" applyFill="1" applyBorder="1" applyAlignment="1">
      <alignment horizontal="center" vertical="center"/>
    </xf>
    <xf numFmtId="165" fontId="6" fillId="4" borderId="8" xfId="0" applyNumberFormat="1" applyFont="1" applyFill="1" applyBorder="1" applyAlignment="1">
      <alignment horizontal="center" vertical="center"/>
    </xf>
    <xf numFmtId="165" fontId="6" fillId="4" borderId="51" xfId="0" applyNumberFormat="1" applyFont="1" applyFill="1" applyBorder="1" applyAlignment="1">
      <alignment horizontal="center" vertical="center"/>
    </xf>
    <xf numFmtId="0" fontId="4" fillId="0" borderId="63" xfId="0" applyFont="1" applyBorder="1"/>
    <xf numFmtId="0" fontId="18" fillId="0" borderId="0" xfId="0" applyFont="1"/>
    <xf numFmtId="0" fontId="4" fillId="7" borderId="57" xfId="0" applyFont="1" applyFill="1" applyBorder="1" applyAlignment="1">
      <alignment vertical="center"/>
    </xf>
    <xf numFmtId="165" fontId="20" fillId="7" borderId="5" xfId="0" applyNumberFormat="1" applyFont="1" applyFill="1" applyBorder="1" applyAlignment="1">
      <alignment horizontal="center" vertical="center"/>
    </xf>
    <xf numFmtId="4" fontId="4" fillId="7" borderId="3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4" fontId="2" fillId="2" borderId="18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0" fontId="2" fillId="3" borderId="23" xfId="0" quotePrefix="1" applyFont="1" applyFill="1" applyBorder="1" applyAlignment="1">
      <alignment horizontal="center" vertical="center"/>
    </xf>
    <xf numFmtId="0" fontId="2" fillId="3" borderId="24" xfId="0" quotePrefix="1" applyFont="1" applyFill="1" applyBorder="1" applyAlignment="1">
      <alignment horizontal="center" vertical="center"/>
    </xf>
    <xf numFmtId="2" fontId="4" fillId="2" borderId="42" xfId="0" applyNumberFormat="1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center" vertical="center"/>
    </xf>
    <xf numFmtId="4" fontId="4" fillId="4" borderId="31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2" fontId="4" fillId="4" borderId="40" xfId="0" applyNumberFormat="1" applyFont="1" applyFill="1" applyBorder="1" applyAlignment="1">
      <alignment horizontal="center" vertical="center"/>
    </xf>
    <xf numFmtId="2" fontId="2" fillId="3" borderId="47" xfId="0" applyNumberFormat="1" applyFont="1" applyFill="1" applyBorder="1" applyAlignment="1" applyProtection="1">
      <alignment horizontal="center" vertical="center"/>
      <protection locked="0"/>
    </xf>
    <xf numFmtId="2" fontId="2" fillId="3" borderId="48" xfId="0" applyNumberFormat="1" applyFont="1" applyFill="1" applyBorder="1" applyAlignment="1" applyProtection="1">
      <alignment horizontal="center" vertical="center"/>
      <protection locked="0"/>
    </xf>
    <xf numFmtId="4" fontId="4" fillId="4" borderId="8" xfId="0" applyNumberFormat="1" applyFont="1" applyFill="1" applyBorder="1" applyAlignment="1">
      <alignment horizontal="center" vertical="center"/>
    </xf>
    <xf numFmtId="4" fontId="4" fillId="4" borderId="37" xfId="0" applyNumberFormat="1" applyFont="1" applyFill="1" applyBorder="1" applyAlignment="1">
      <alignment horizontal="center" vertical="center"/>
    </xf>
    <xf numFmtId="4" fontId="3" fillId="4" borderId="62" xfId="0" applyNumberFormat="1" applyFont="1" applyFill="1" applyBorder="1" applyAlignment="1">
      <alignment horizontal="center"/>
    </xf>
    <xf numFmtId="4" fontId="3" fillId="4" borderId="64" xfId="0" applyNumberFormat="1" applyFont="1" applyFill="1" applyBorder="1" applyAlignment="1">
      <alignment horizontal="center"/>
    </xf>
    <xf numFmtId="4" fontId="2" fillId="3" borderId="23" xfId="0" applyNumberFormat="1" applyFont="1" applyFill="1" applyBorder="1" applyAlignment="1" applyProtection="1">
      <alignment horizontal="center" vertical="center"/>
      <protection locked="0"/>
    </xf>
    <xf numFmtId="4" fontId="2" fillId="3" borderId="24" xfId="0" applyNumberFormat="1" applyFont="1" applyFill="1" applyBorder="1" applyAlignment="1" applyProtection="1">
      <alignment horizontal="center" vertical="center"/>
      <protection locked="0"/>
    </xf>
    <xf numFmtId="3" fontId="6" fillId="4" borderId="13" xfId="0" applyNumberFormat="1" applyFont="1" applyFill="1" applyBorder="1" applyAlignment="1">
      <alignment horizontal="center"/>
    </xf>
    <xf numFmtId="4" fontId="4" fillId="4" borderId="0" xfId="0" applyNumberFormat="1" applyFont="1" applyFill="1" applyAlignment="1">
      <alignment horizontal="center"/>
    </xf>
    <xf numFmtId="2" fontId="4" fillId="4" borderId="6" xfId="0" applyNumberFormat="1" applyFont="1" applyFill="1" applyBorder="1" applyAlignment="1">
      <alignment horizontal="center" vertical="center"/>
    </xf>
    <xf numFmtId="2" fontId="4" fillId="4" borderId="38" xfId="0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4" fontId="3" fillId="4" borderId="65" xfId="0" applyNumberFormat="1" applyFont="1" applyFill="1" applyBorder="1" applyAlignment="1">
      <alignment horizontal="center"/>
    </xf>
    <xf numFmtId="2" fontId="2" fillId="3" borderId="49" xfId="0" applyNumberFormat="1" applyFont="1" applyFill="1" applyBorder="1" applyAlignment="1" applyProtection="1">
      <alignment horizontal="center" vertical="center"/>
      <protection locked="0"/>
    </xf>
    <xf numFmtId="2" fontId="2" fillId="3" borderId="50" xfId="0" applyNumberFormat="1" applyFont="1" applyFill="1" applyBorder="1" applyAlignment="1" applyProtection="1">
      <alignment horizontal="center" vertical="center"/>
      <protection locked="0"/>
    </xf>
    <xf numFmtId="1" fontId="5" fillId="4" borderId="17" xfId="0" applyNumberFormat="1" applyFont="1" applyFill="1" applyBorder="1" applyAlignment="1">
      <alignment horizontal="center" vertical="center"/>
    </xf>
    <xf numFmtId="1" fontId="5" fillId="4" borderId="40" xfId="0" applyNumberFormat="1" applyFont="1" applyFill="1" applyBorder="1" applyAlignment="1">
      <alignment horizontal="center" vertical="center"/>
    </xf>
    <xf numFmtId="4" fontId="5" fillId="2" borderId="42" xfId="0" applyNumberFormat="1" applyFont="1" applyFill="1" applyBorder="1" applyAlignment="1">
      <alignment horizontal="center" vertical="center"/>
    </xf>
    <xf numFmtId="4" fontId="5" fillId="2" borderId="4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40062"/>
      <color rgb="FFD00068"/>
      <color rgb="FFB00058"/>
      <color rgb="FFBC005E"/>
      <color rgb="FFE60073"/>
      <color rgb="FFFF3399"/>
      <color rgb="FFF2F2F2"/>
      <color rgb="FF66FFFF"/>
      <color rgb="FFACF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28576</xdr:rowOff>
    </xdr:from>
    <xdr:to>
      <xdr:col>0</xdr:col>
      <xdr:colOff>2400300</xdr:colOff>
      <xdr:row>4</xdr:row>
      <xdr:rowOff>19051</xdr:rowOff>
    </xdr:to>
    <xdr:pic>
      <xdr:nvPicPr>
        <xdr:cNvPr id="3" name="Image 2" descr="http://www.unige.ch/presse/charte/logos_unige/UNIGE/UNIGE50.jpg">
          <a:extLst>
            <a:ext uri="{FF2B5EF4-FFF2-40B4-BE49-F238E27FC236}">
              <a16:creationId xmlns:a16="http://schemas.microsoft.com/office/drawing/2014/main" id="{5A4076FE-2695-453D-81DD-3948D0121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6"/>
          <a:ext cx="237172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2371725</xdr:colOff>
      <xdr:row>4</xdr:row>
      <xdr:rowOff>9525</xdr:rowOff>
    </xdr:to>
    <xdr:pic>
      <xdr:nvPicPr>
        <xdr:cNvPr id="4" name="Image 3" descr="http://www.unige.ch/presse/charte/logos_unige/UNIGE/UNIGE50.jpg">
          <a:extLst>
            <a:ext uri="{FF2B5EF4-FFF2-40B4-BE49-F238E27FC236}">
              <a16:creationId xmlns:a16="http://schemas.microsoft.com/office/drawing/2014/main" id="{3D4546C9-EFD1-4204-94A5-25B7D6429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37172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H41"/>
  <sheetViews>
    <sheetView tabSelected="1" zoomScaleNormal="100" zoomScalePageLayoutView="125" workbookViewId="0">
      <selection activeCell="B1" sqref="B1:C5"/>
    </sheetView>
  </sheetViews>
  <sheetFormatPr baseColWidth="10" defaultRowHeight="12.75" x14ac:dyDescent="0.2"/>
  <cols>
    <col min="1" max="1" width="52.5703125" bestFit="1" customWidth="1"/>
    <col min="2" max="3" width="22.7109375" customWidth="1"/>
    <col min="4" max="4" width="24.85546875" bestFit="1" customWidth="1"/>
    <col min="5" max="5" width="22.42578125" customWidth="1"/>
    <col min="6" max="6" width="23.28515625" customWidth="1"/>
  </cols>
  <sheetData>
    <row r="1" spans="1:6" ht="18.75" customHeight="1" x14ac:dyDescent="0.25">
      <c r="A1" s="75" t="s">
        <v>35</v>
      </c>
      <c r="B1" s="76" t="s">
        <v>32</v>
      </c>
      <c r="C1" s="77"/>
      <c r="D1" s="4"/>
      <c r="E1" s="4"/>
    </row>
    <row r="2" spans="1:6" ht="15" x14ac:dyDescent="0.25">
      <c r="B2" s="78"/>
      <c r="C2" s="79"/>
      <c r="D2" s="4"/>
      <c r="E2" s="4"/>
    </row>
    <row r="3" spans="1:6" ht="15" x14ac:dyDescent="0.25">
      <c r="A3" s="11"/>
      <c r="B3" s="78"/>
      <c r="C3" s="79"/>
      <c r="D3" s="11"/>
      <c r="E3" s="11"/>
    </row>
    <row r="4" spans="1:6" ht="19.5" customHeight="1" x14ac:dyDescent="0.25">
      <c r="A4" s="4"/>
      <c r="B4" s="78"/>
      <c r="C4" s="79"/>
      <c r="D4" s="4"/>
      <c r="E4" s="4"/>
    </row>
    <row r="5" spans="1:6" ht="15.75" thickBot="1" x14ac:dyDescent="0.3">
      <c r="A5" s="4"/>
      <c r="B5" s="80"/>
      <c r="C5" s="81"/>
      <c r="D5" s="5"/>
      <c r="E5" s="5"/>
    </row>
    <row r="6" spans="1:6" ht="15.75" thickBot="1" x14ac:dyDescent="0.3">
      <c r="A6" s="84" t="s">
        <v>29</v>
      </c>
      <c r="B6" s="17"/>
      <c r="C6" s="17"/>
      <c r="D6" s="4"/>
      <c r="E6" s="4"/>
    </row>
    <row r="7" spans="1:6" ht="24" customHeight="1" thickBot="1" x14ac:dyDescent="0.3">
      <c r="A7" s="84"/>
      <c r="B7" s="87" t="s">
        <v>2</v>
      </c>
      <c r="C7" s="88"/>
      <c r="D7" s="16"/>
      <c r="E7" s="4"/>
    </row>
    <row r="8" spans="1:6" ht="15.75" thickBot="1" x14ac:dyDescent="0.3">
      <c r="A8" s="4"/>
      <c r="B8" s="4"/>
      <c r="C8" s="4"/>
      <c r="D8" s="4"/>
      <c r="E8" s="4"/>
    </row>
    <row r="9" spans="1:6" s="2" customFormat="1" ht="19.149999999999999" customHeight="1" thickBot="1" x14ac:dyDescent="0.25">
      <c r="A9" s="52" t="s">
        <v>18</v>
      </c>
      <c r="B9" s="95">
        <v>100</v>
      </c>
      <c r="C9" s="96"/>
    </row>
    <row r="10" spans="1:6" s="2" customFormat="1" ht="19.149999999999999" customHeight="1" thickBot="1" x14ac:dyDescent="0.25">
      <c r="A10" s="53" t="s">
        <v>19</v>
      </c>
      <c r="B10" s="101">
        <v>5000</v>
      </c>
      <c r="C10" s="102"/>
      <c r="D10" s="6"/>
      <c r="E10" s="6"/>
      <c r="F10" s="3"/>
    </row>
    <row r="11" spans="1:6" ht="15.75" x14ac:dyDescent="0.25">
      <c r="A11" s="44" t="s">
        <v>12</v>
      </c>
      <c r="B11" s="99">
        <f>B10*13</f>
        <v>65000</v>
      </c>
      <c r="C11" s="100"/>
      <c r="D11" s="70"/>
      <c r="E11" s="4"/>
      <c r="F11" s="1"/>
    </row>
    <row r="12" spans="1:6" ht="15" x14ac:dyDescent="0.25">
      <c r="A12" s="4"/>
      <c r="B12" s="4"/>
      <c r="C12" s="4"/>
      <c r="D12" s="4"/>
      <c r="E12" s="4"/>
      <c r="F12" s="1"/>
    </row>
    <row r="13" spans="1:6" ht="15.75" hidden="1" x14ac:dyDescent="0.25">
      <c r="A13" s="19" t="s">
        <v>4</v>
      </c>
      <c r="B13" s="103">
        <v>12350</v>
      </c>
      <c r="C13" s="103"/>
      <c r="D13" s="12"/>
      <c r="E13" s="12"/>
      <c r="F13" s="1"/>
    </row>
    <row r="14" spans="1:6" ht="15" hidden="1" x14ac:dyDescent="0.25">
      <c r="A14" s="20" t="s">
        <v>6</v>
      </c>
      <c r="B14" s="104">
        <f>IF(($B10&gt;$B13),($B10-$B13),0)</f>
        <v>0</v>
      </c>
      <c r="C14" s="104"/>
      <c r="D14" s="7"/>
      <c r="E14" s="7"/>
      <c r="F14" s="1"/>
    </row>
    <row r="15" spans="1:6" ht="15.75" thickBot="1" x14ac:dyDescent="0.3">
      <c r="A15" s="5"/>
      <c r="B15" s="4"/>
      <c r="C15" s="21"/>
      <c r="D15" s="8"/>
      <c r="E15" s="8"/>
      <c r="F15" s="71" t="s">
        <v>30</v>
      </c>
    </row>
    <row r="16" spans="1:6" s="2" customFormat="1" ht="32.25" thickBot="1" x14ac:dyDescent="0.25">
      <c r="A16" s="54" t="s">
        <v>7</v>
      </c>
      <c r="B16" s="55" t="s">
        <v>0</v>
      </c>
      <c r="C16" s="56" t="s">
        <v>5</v>
      </c>
      <c r="D16" s="13"/>
      <c r="E16" s="13"/>
    </row>
    <row r="17" spans="1:5" s="2" customFormat="1" ht="17.100000000000001" customHeight="1" x14ac:dyDescent="0.2">
      <c r="A17" s="57" t="s">
        <v>28</v>
      </c>
      <c r="B17" s="66">
        <v>5.3499999999999999E-2</v>
      </c>
      <c r="C17" s="58">
        <f>ROUND(20*(B$10*B17),0)/20</f>
        <v>267.5</v>
      </c>
      <c r="D17" s="13"/>
      <c r="E17" s="13"/>
    </row>
    <row r="18" spans="1:5" s="2" customFormat="1" ht="17.100000000000001" customHeight="1" x14ac:dyDescent="0.2">
      <c r="A18" s="59" t="s">
        <v>34</v>
      </c>
      <c r="B18" s="67">
        <v>3.8000000000000002E-4</v>
      </c>
      <c r="C18" s="60">
        <f>ROUND(20*(B$10*B18),0)/20</f>
        <v>1.9</v>
      </c>
      <c r="D18" s="13"/>
      <c r="E18" s="13"/>
    </row>
    <row r="19" spans="1:5" s="2" customFormat="1" ht="17.100000000000001" customHeight="1" x14ac:dyDescent="0.2">
      <c r="A19" s="59" t="s">
        <v>1</v>
      </c>
      <c r="B19" s="67">
        <v>1.0999999999999999E-2</v>
      </c>
      <c r="C19" s="60">
        <f>IF((B$10&lt;B$13),(ROUND(20*(B$10*B19),0)/20),(ROUND(20*(B$13*B19),0)/20))</f>
        <v>55</v>
      </c>
      <c r="D19" s="13"/>
      <c r="E19" s="13"/>
    </row>
    <row r="20" spans="1:5" s="2" customFormat="1" ht="17.100000000000001" customHeight="1" x14ac:dyDescent="0.2">
      <c r="A20" s="72" t="s">
        <v>33</v>
      </c>
      <c r="B20" s="73">
        <v>5.0000000000000001E-3</v>
      </c>
      <c r="C20" s="74"/>
      <c r="D20" s="13"/>
      <c r="E20" s="13"/>
    </row>
    <row r="21" spans="1:5" s="2" customFormat="1" ht="17.100000000000001" customHeight="1" x14ac:dyDescent="0.2">
      <c r="A21" s="59" t="s">
        <v>36</v>
      </c>
      <c r="B21" s="68">
        <v>2.35E-2</v>
      </c>
      <c r="C21" s="65">
        <f>ROUND(20*(B$10*B21),0)/20</f>
        <v>117.5</v>
      </c>
      <c r="D21" s="13"/>
      <c r="E21" s="13"/>
    </row>
    <row r="22" spans="1:5" s="2" customFormat="1" ht="17.100000000000001" customHeight="1" thickBot="1" x14ac:dyDescent="0.25">
      <c r="A22" s="62" t="s">
        <v>3</v>
      </c>
      <c r="B22" s="69">
        <v>2.8400000000000001E-3</v>
      </c>
      <c r="C22" s="61">
        <f>ROUND(20*(B$10*B22),0)/20</f>
        <v>14.2</v>
      </c>
      <c r="D22" s="13"/>
      <c r="E22" s="13"/>
    </row>
    <row r="23" spans="1:5" ht="21.75" customHeight="1" thickBot="1" x14ac:dyDescent="0.3">
      <c r="A23" s="63" t="s">
        <v>22</v>
      </c>
      <c r="B23" s="64"/>
      <c r="C23" s="50">
        <f>SUM(C17:C22)</f>
        <v>456.09999999999997</v>
      </c>
      <c r="D23" s="10"/>
      <c r="E23" s="10"/>
    </row>
    <row r="24" spans="1:5" ht="15" x14ac:dyDescent="0.25">
      <c r="A24" s="4"/>
      <c r="B24" s="14"/>
      <c r="C24" s="9"/>
      <c r="D24" s="10"/>
      <c r="E24" s="10"/>
    </row>
    <row r="25" spans="1:5" ht="15.75" thickBot="1" x14ac:dyDescent="0.3">
      <c r="A25" s="4"/>
      <c r="C25" s="11"/>
    </row>
    <row r="26" spans="1:5" ht="21.75" customHeight="1" thickBot="1" x14ac:dyDescent="0.25">
      <c r="A26" s="107" t="s">
        <v>10</v>
      </c>
      <c r="B26" s="108"/>
      <c r="C26" s="109"/>
      <c r="D26" s="15"/>
      <c r="E26" s="15"/>
    </row>
    <row r="27" spans="1:5" ht="9.75" customHeight="1" x14ac:dyDescent="0.2">
      <c r="A27" s="36"/>
      <c r="B27" s="15"/>
      <c r="C27" s="37"/>
      <c r="D27" s="15"/>
      <c r="E27" s="15"/>
    </row>
    <row r="28" spans="1:5" s="45" customFormat="1" ht="17.100000000000001" customHeight="1" x14ac:dyDescent="0.2">
      <c r="A28" s="38" t="s">
        <v>12</v>
      </c>
      <c r="B28" s="91">
        <f>B11</f>
        <v>65000</v>
      </c>
      <c r="C28" s="92"/>
    </row>
    <row r="29" spans="1:5" s="45" customFormat="1" ht="17.100000000000001" customHeight="1" x14ac:dyDescent="0.2">
      <c r="A29" s="39" t="s">
        <v>16</v>
      </c>
      <c r="B29" s="97">
        <f>IF(B9=100,B28, (100*B28)/B9)</f>
        <v>65000</v>
      </c>
      <c r="C29" s="98"/>
      <c r="D29" s="48"/>
      <c r="E29" s="48"/>
    </row>
    <row r="30" spans="1:5" s="45" customFormat="1" ht="17.100000000000001" customHeight="1" x14ac:dyDescent="0.25">
      <c r="A30" s="39" t="s">
        <v>15</v>
      </c>
      <c r="B30" s="97">
        <f>IF(8.5%*B29+(C41/2)&gt;C40,C40,8.5%*B29+(C41/2))</f>
        <v>20225</v>
      </c>
      <c r="C30" s="98"/>
      <c r="D30" s="27"/>
    </row>
    <row r="31" spans="1:5" s="45" customFormat="1" ht="17.100000000000001" customHeight="1" x14ac:dyDescent="0.2">
      <c r="A31" s="40" t="s">
        <v>8</v>
      </c>
      <c r="B31" s="97">
        <f>B29-B30</f>
        <v>44775</v>
      </c>
      <c r="C31" s="98"/>
      <c r="D31" s="47"/>
    </row>
    <row r="32" spans="1:5" s="45" customFormat="1" ht="17.100000000000001" customHeight="1" thickBot="1" x14ac:dyDescent="0.25">
      <c r="A32" s="41" t="s">
        <v>24</v>
      </c>
      <c r="B32" s="105">
        <f>((((B31*9%))*B9)/12)/100</f>
        <v>335.8125</v>
      </c>
      <c r="C32" s="106"/>
    </row>
    <row r="33" spans="1:8" s="45" customFormat="1" ht="17.100000000000001" customHeight="1" x14ac:dyDescent="0.2">
      <c r="A33" s="42" t="s">
        <v>25</v>
      </c>
      <c r="B33" s="93">
        <f>B32*2</f>
        <v>671.625</v>
      </c>
      <c r="C33" s="94"/>
    </row>
    <row r="34" spans="1:8" s="46" customFormat="1" ht="15.75" thickBot="1" x14ac:dyDescent="0.25">
      <c r="A34" s="43" t="s">
        <v>26</v>
      </c>
      <c r="B34" s="89">
        <f>B33*12</f>
        <v>8059.5</v>
      </c>
      <c r="C34" s="90"/>
      <c r="H34" s="45"/>
    </row>
    <row r="35" spans="1:8" ht="15" x14ac:dyDescent="0.2">
      <c r="A35" s="23"/>
      <c r="B35" s="24"/>
      <c r="C35" s="24"/>
      <c r="H35" s="2"/>
    </row>
    <row r="36" spans="1:8" ht="15.75" thickBot="1" x14ac:dyDescent="0.3">
      <c r="A36" s="4"/>
      <c r="B36" s="4"/>
      <c r="C36" s="4"/>
      <c r="D36" s="4"/>
      <c r="E36" s="4"/>
    </row>
    <row r="37" spans="1:8" s="2" customFormat="1" ht="25.15" customHeight="1" x14ac:dyDescent="0.2">
      <c r="A37" s="25" t="s">
        <v>23</v>
      </c>
      <c r="B37" s="82">
        <f>B38/12</f>
        <v>6582.4000000000005</v>
      </c>
      <c r="C37" s="83"/>
    </row>
    <row r="38" spans="1:8" s="2" customFormat="1" ht="25.15" customHeight="1" thickBot="1" x14ac:dyDescent="0.25">
      <c r="A38" s="26" t="s">
        <v>11</v>
      </c>
      <c r="B38" s="85">
        <f>SUM((B10*13)+(C23*13)+B34)</f>
        <v>78988.800000000003</v>
      </c>
      <c r="C38" s="86"/>
    </row>
    <row r="40" spans="1:8" hidden="1" x14ac:dyDescent="0.2">
      <c r="B40" t="s">
        <v>13</v>
      </c>
      <c r="C40">
        <v>25095</v>
      </c>
    </row>
    <row r="41" spans="1:8" hidden="1" x14ac:dyDescent="0.2">
      <c r="B41" t="s">
        <v>14</v>
      </c>
      <c r="C41">
        <v>29400</v>
      </c>
    </row>
  </sheetData>
  <sheetProtection algorithmName="SHA-512" hashValue="7GDgbdlEYTt148Q7tt99w9irSnegSOI+MdvDYxMALSkzPfmox25wtH5srCv0hyeb33TgXpUEmxviPvcRcR/oZw==" saltValue="ozB/MUOISVAti7lZDO1nBg==" spinCount="100000" sheet="1" objects="1" scenarios="1"/>
  <mergeCells count="18">
    <mergeCell ref="B32:C32"/>
    <mergeCell ref="A26:C26"/>
    <mergeCell ref="B1:C5"/>
    <mergeCell ref="B37:C37"/>
    <mergeCell ref="A6:A7"/>
    <mergeCell ref="B38:C38"/>
    <mergeCell ref="B7:C7"/>
    <mergeCell ref="B34:C34"/>
    <mergeCell ref="B28:C28"/>
    <mergeCell ref="B33:C33"/>
    <mergeCell ref="B9:C9"/>
    <mergeCell ref="B31:C31"/>
    <mergeCell ref="B11:C11"/>
    <mergeCell ref="B10:C10"/>
    <mergeCell ref="B13:C13"/>
    <mergeCell ref="B14:C14"/>
    <mergeCell ref="B29:C29"/>
    <mergeCell ref="B30:C30"/>
  </mergeCells>
  <dataValidations count="1">
    <dataValidation type="list" allowBlank="1" showInputMessage="1" showErrorMessage="1" sqref="B9:C9" xr:uid="{00000000-0002-0000-0000-000000000000}">
      <formula1>TAUX</formula1>
    </dataValidation>
  </dataValidations>
  <pageMargins left="0.82677165354330717" right="0" top="0.47244094488188981" bottom="0.98425196850393704" header="0.51181102362204722" footer="0.51181102362204722"/>
  <pageSetup paperSize="9" scale="91" orientation="landscape" r:id="rId1"/>
  <headerFooter alignWithMargins="0">
    <oddFooter>&amp;Lex/Coût Fix, le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G41"/>
  <sheetViews>
    <sheetView zoomScaleNormal="100" zoomScalePageLayoutView="125" workbookViewId="0">
      <selection activeCell="B1" sqref="B1:C5"/>
    </sheetView>
  </sheetViews>
  <sheetFormatPr baseColWidth="10" defaultRowHeight="12.75" x14ac:dyDescent="0.2"/>
  <cols>
    <col min="1" max="1" width="52.5703125" bestFit="1" customWidth="1"/>
    <col min="2" max="3" width="22.7109375" customWidth="1"/>
    <col min="4" max="4" width="22.42578125" customWidth="1"/>
    <col min="5" max="5" width="23.28515625" customWidth="1"/>
  </cols>
  <sheetData>
    <row r="1" spans="1:5" ht="18.75" customHeight="1" x14ac:dyDescent="0.25">
      <c r="A1" s="75" t="s">
        <v>35</v>
      </c>
      <c r="B1" s="76" t="s">
        <v>31</v>
      </c>
      <c r="C1" s="77"/>
      <c r="D1" s="4"/>
    </row>
    <row r="2" spans="1:5" ht="15" x14ac:dyDescent="0.25">
      <c r="A2" s="4"/>
      <c r="B2" s="78"/>
      <c r="C2" s="79"/>
      <c r="D2" s="4"/>
    </row>
    <row r="3" spans="1:5" ht="15" x14ac:dyDescent="0.25">
      <c r="A3" s="11"/>
      <c r="B3" s="78"/>
      <c r="C3" s="79"/>
      <c r="D3" s="11"/>
    </row>
    <row r="4" spans="1:5" ht="19.5" customHeight="1" x14ac:dyDescent="0.25">
      <c r="A4" s="4"/>
      <c r="B4" s="78"/>
      <c r="C4" s="79"/>
      <c r="D4" s="4"/>
    </row>
    <row r="5" spans="1:5" ht="15.75" thickBot="1" x14ac:dyDescent="0.3">
      <c r="A5" s="4"/>
      <c r="B5" s="80"/>
      <c r="C5" s="81"/>
      <c r="D5" s="5"/>
    </row>
    <row r="6" spans="1:5" ht="15.75" thickBot="1" x14ac:dyDescent="0.3">
      <c r="A6" s="84" t="s">
        <v>29</v>
      </c>
      <c r="B6" s="17"/>
      <c r="C6" s="17"/>
      <c r="D6" s="4"/>
    </row>
    <row r="7" spans="1:5" ht="24" customHeight="1" thickBot="1" x14ac:dyDescent="0.3">
      <c r="A7" s="84"/>
      <c r="B7" s="87" t="s">
        <v>2</v>
      </c>
      <c r="C7" s="88"/>
      <c r="D7" s="4"/>
    </row>
    <row r="8" spans="1:5" ht="15.75" thickBot="1" x14ac:dyDescent="0.3">
      <c r="A8" s="4"/>
      <c r="B8" s="51"/>
      <c r="C8" s="51"/>
      <c r="D8" s="4"/>
    </row>
    <row r="9" spans="1:5" s="2" customFormat="1" ht="19.149999999999999" customHeight="1" thickBot="1" x14ac:dyDescent="0.25">
      <c r="A9" s="28" t="s">
        <v>18</v>
      </c>
      <c r="B9" s="111">
        <v>100</v>
      </c>
      <c r="C9" s="112"/>
    </row>
    <row r="10" spans="1:5" s="2" customFormat="1" ht="19.149999999999999" customHeight="1" thickBot="1" x14ac:dyDescent="0.25">
      <c r="A10" s="18" t="s">
        <v>20</v>
      </c>
      <c r="B10" s="101">
        <v>5000</v>
      </c>
      <c r="C10" s="102"/>
      <c r="D10" s="6"/>
      <c r="E10" s="3"/>
    </row>
    <row r="11" spans="1:5" ht="15.75" x14ac:dyDescent="0.25">
      <c r="A11" s="44" t="s">
        <v>9</v>
      </c>
      <c r="B11" s="100">
        <f>B10*12</f>
        <v>60000</v>
      </c>
      <c r="C11" s="110"/>
      <c r="D11" s="4"/>
      <c r="E11" s="1"/>
    </row>
    <row r="12" spans="1:5" ht="15" hidden="1" x14ac:dyDescent="0.25">
      <c r="A12" s="4"/>
      <c r="B12" s="4"/>
      <c r="C12" s="4"/>
      <c r="D12" s="4"/>
      <c r="E12" s="1"/>
    </row>
    <row r="13" spans="1:5" ht="15.75" hidden="1" x14ac:dyDescent="0.25">
      <c r="A13" s="19" t="s">
        <v>4</v>
      </c>
      <c r="B13" s="103">
        <v>12350</v>
      </c>
      <c r="C13" s="103"/>
      <c r="D13" s="12"/>
      <c r="E13" s="1"/>
    </row>
    <row r="14" spans="1:5" ht="15" hidden="1" x14ac:dyDescent="0.25">
      <c r="A14" s="20" t="s">
        <v>6</v>
      </c>
      <c r="B14" s="104">
        <f>IF(($B10&gt;$B13),($B10-$B13),0)</f>
        <v>0</v>
      </c>
      <c r="C14" s="104"/>
      <c r="D14" s="7"/>
      <c r="E14" s="1"/>
    </row>
    <row r="15" spans="1:5" ht="15.75" thickBot="1" x14ac:dyDescent="0.3">
      <c r="A15" s="5"/>
      <c r="B15" s="4"/>
      <c r="C15" s="21"/>
      <c r="D15" s="8"/>
    </row>
    <row r="16" spans="1:5" s="2" customFormat="1" ht="32.25" thickBot="1" x14ac:dyDescent="0.25">
      <c r="A16" s="29" t="s">
        <v>17</v>
      </c>
      <c r="B16" s="30" t="s">
        <v>0</v>
      </c>
      <c r="C16" s="31" t="s">
        <v>5</v>
      </c>
      <c r="D16" s="13"/>
    </row>
    <row r="17" spans="1:4" s="2" customFormat="1" ht="17.100000000000001" customHeight="1" x14ac:dyDescent="0.2">
      <c r="A17" s="57" t="s">
        <v>28</v>
      </c>
      <c r="B17" s="66">
        <v>5.3499999999999999E-2</v>
      </c>
      <c r="C17" s="32">
        <f>ROUND(20*(B$10*B17),0)/20</f>
        <v>267.5</v>
      </c>
      <c r="D17" s="13"/>
    </row>
    <row r="18" spans="1:4" s="2" customFormat="1" ht="17.100000000000001" customHeight="1" x14ac:dyDescent="0.2">
      <c r="A18" s="59" t="s">
        <v>34</v>
      </c>
      <c r="B18" s="67">
        <v>3.8000000000000002E-4</v>
      </c>
      <c r="C18" s="33">
        <f>ROUND(20*(B$10*B18),0)/20</f>
        <v>1.9</v>
      </c>
      <c r="D18" s="13"/>
    </row>
    <row r="19" spans="1:4" s="2" customFormat="1" ht="17.100000000000001" customHeight="1" x14ac:dyDescent="0.2">
      <c r="A19" s="59" t="s">
        <v>1</v>
      </c>
      <c r="B19" s="67">
        <v>1.0999999999999999E-2</v>
      </c>
      <c r="C19" s="33">
        <f>IF((B$10&lt;B$13),(ROUND(20*(B$10*B19),0)/20),(ROUND(20*(B$13*B19),0)/20))</f>
        <v>55</v>
      </c>
      <c r="D19" s="13"/>
    </row>
    <row r="20" spans="1:4" s="2" customFormat="1" ht="17.100000000000001" customHeight="1" x14ac:dyDescent="0.2">
      <c r="A20" s="72" t="s">
        <v>33</v>
      </c>
      <c r="B20" s="73">
        <v>5.0000000000000001E-3</v>
      </c>
      <c r="C20" s="74"/>
      <c r="D20" s="13"/>
    </row>
    <row r="21" spans="1:4" s="2" customFormat="1" ht="17.100000000000001" customHeight="1" x14ac:dyDescent="0.2">
      <c r="A21" s="59" t="s">
        <v>36</v>
      </c>
      <c r="B21" s="68">
        <v>2.35E-2</v>
      </c>
      <c r="C21" s="33">
        <f>ROUND(20*(B$10*B21),0)/20</f>
        <v>117.5</v>
      </c>
      <c r="D21" s="13"/>
    </row>
    <row r="22" spans="1:4" s="2" customFormat="1" ht="17.100000000000001" customHeight="1" thickBot="1" x14ac:dyDescent="0.25">
      <c r="A22" s="62" t="s">
        <v>3</v>
      </c>
      <c r="B22" s="69">
        <v>2.8400000000000001E-3</v>
      </c>
      <c r="C22" s="33">
        <f>ROUND(20*(B$10*B22),0)/20</f>
        <v>14.2</v>
      </c>
      <c r="D22" s="13"/>
    </row>
    <row r="23" spans="1:4" ht="21.75" customHeight="1" thickBot="1" x14ac:dyDescent="0.3">
      <c r="A23" s="34" t="s">
        <v>21</v>
      </c>
      <c r="B23" s="22"/>
      <c r="C23" s="35">
        <f>SUM(C17:C22)</f>
        <v>456.09999999999997</v>
      </c>
      <c r="D23" s="10"/>
    </row>
    <row r="24" spans="1:4" ht="15" x14ac:dyDescent="0.25">
      <c r="A24" s="4"/>
      <c r="B24" s="14"/>
      <c r="C24" s="9"/>
      <c r="D24" s="10"/>
    </row>
    <row r="25" spans="1:4" ht="15.75" thickBot="1" x14ac:dyDescent="0.3">
      <c r="A25" s="4"/>
      <c r="C25" s="11"/>
    </row>
    <row r="26" spans="1:4" ht="21.75" customHeight="1" thickBot="1" x14ac:dyDescent="0.25">
      <c r="A26" s="107" t="s">
        <v>10</v>
      </c>
      <c r="B26" s="108"/>
      <c r="C26" s="109"/>
      <c r="D26" s="15"/>
    </row>
    <row r="27" spans="1:4" ht="9.75" customHeight="1" x14ac:dyDescent="0.2">
      <c r="A27" s="36"/>
      <c r="B27" s="15"/>
      <c r="C27" s="37"/>
      <c r="D27" s="15"/>
    </row>
    <row r="28" spans="1:4" s="2" customFormat="1" ht="17.100000000000001" customHeight="1" x14ac:dyDescent="0.2">
      <c r="A28" s="38" t="s">
        <v>12</v>
      </c>
      <c r="B28" s="91">
        <f>B11</f>
        <v>60000</v>
      </c>
      <c r="C28" s="92"/>
    </row>
    <row r="29" spans="1:4" s="2" customFormat="1" ht="17.100000000000001" customHeight="1" x14ac:dyDescent="0.2">
      <c r="A29" s="39" t="s">
        <v>16</v>
      </c>
      <c r="B29" s="97">
        <f>IF(B9=100,B28, (100*B28)/B9)</f>
        <v>60000</v>
      </c>
      <c r="C29" s="98"/>
      <c r="D29" s="49"/>
    </row>
    <row r="30" spans="1:4" s="2" customFormat="1" ht="17.100000000000001" customHeight="1" x14ac:dyDescent="0.2">
      <c r="A30" s="39" t="s">
        <v>15</v>
      </c>
      <c r="B30" s="97">
        <f>IF(8.5%*B29+(C41/2)&gt;C40,C40,8.5%*B29+(C41/2))</f>
        <v>19800</v>
      </c>
      <c r="C30" s="98"/>
    </row>
    <row r="31" spans="1:4" s="2" customFormat="1" ht="17.100000000000001" customHeight="1" x14ac:dyDescent="0.2">
      <c r="A31" s="40" t="s">
        <v>8</v>
      </c>
      <c r="B31" s="97">
        <f>B29-B30</f>
        <v>40200</v>
      </c>
      <c r="C31" s="98"/>
    </row>
    <row r="32" spans="1:4" s="2" customFormat="1" ht="17.100000000000001" customHeight="1" thickBot="1" x14ac:dyDescent="0.25">
      <c r="A32" s="41" t="s">
        <v>24</v>
      </c>
      <c r="B32" s="105">
        <f>((((B31*9%))*B9)/12)/100</f>
        <v>301.5</v>
      </c>
      <c r="C32" s="106"/>
    </row>
    <row r="33" spans="1:7" s="2" customFormat="1" ht="17.100000000000001" customHeight="1" x14ac:dyDescent="0.2">
      <c r="A33" s="42" t="s">
        <v>25</v>
      </c>
      <c r="B33" s="113">
        <f>B32*2</f>
        <v>603</v>
      </c>
      <c r="C33" s="114"/>
    </row>
    <row r="34" spans="1:7" ht="15.75" thickBot="1" x14ac:dyDescent="0.25">
      <c r="A34" s="43" t="s">
        <v>26</v>
      </c>
      <c r="B34" s="115">
        <f>B33*12</f>
        <v>7236</v>
      </c>
      <c r="C34" s="116"/>
      <c r="G34" s="2"/>
    </row>
    <row r="35" spans="1:7" ht="15" x14ac:dyDescent="0.2">
      <c r="A35" s="23"/>
      <c r="B35" s="24"/>
      <c r="C35" s="24"/>
      <c r="G35" s="2"/>
    </row>
    <row r="36" spans="1:7" ht="15.75" thickBot="1" x14ac:dyDescent="0.3">
      <c r="A36" s="4"/>
      <c r="B36" s="4"/>
      <c r="C36" s="4"/>
      <c r="D36" s="4"/>
    </row>
    <row r="37" spans="1:7" s="2" customFormat="1" ht="25.15" customHeight="1" x14ac:dyDescent="0.2">
      <c r="A37" s="25" t="s">
        <v>23</v>
      </c>
      <c r="B37" s="82">
        <f>B38/12</f>
        <v>6059.0999999999995</v>
      </c>
      <c r="C37" s="83"/>
    </row>
    <row r="38" spans="1:7" s="2" customFormat="1" ht="25.15" customHeight="1" thickBot="1" x14ac:dyDescent="0.25">
      <c r="A38" s="26" t="s">
        <v>11</v>
      </c>
      <c r="B38" s="85">
        <f>SUM((B10*12)+(C23*12)+B34)</f>
        <v>72709.2</v>
      </c>
      <c r="C38" s="86"/>
    </row>
    <row r="40" spans="1:7" hidden="1" x14ac:dyDescent="0.2">
      <c r="B40" t="s">
        <v>13</v>
      </c>
      <c r="C40">
        <v>25095</v>
      </c>
    </row>
    <row r="41" spans="1:7" hidden="1" x14ac:dyDescent="0.2">
      <c r="B41" t="s">
        <v>27</v>
      </c>
      <c r="C41">
        <v>29400</v>
      </c>
    </row>
  </sheetData>
  <sheetProtection algorithmName="SHA-512" hashValue="VxHhrUkdsXzBe0h6XGRdTBGoihxLF4EwzC0nTFth1eDHmL5XemcbjBA1AxXJGQk9NbBw6oiV1g0+r7rHe3CKyg==" saltValue="b7kkWnpJTBhWQ+3iEs3qgQ==" spinCount="100000" sheet="1" objects="1" scenarios="1"/>
  <mergeCells count="18">
    <mergeCell ref="B32:C32"/>
    <mergeCell ref="B33:C33"/>
    <mergeCell ref="B34:C34"/>
    <mergeCell ref="B37:C37"/>
    <mergeCell ref="B38:C38"/>
    <mergeCell ref="B31:C31"/>
    <mergeCell ref="B1:C5"/>
    <mergeCell ref="B7:C7"/>
    <mergeCell ref="B10:C10"/>
    <mergeCell ref="B11:C11"/>
    <mergeCell ref="B13:C13"/>
    <mergeCell ref="B14:C14"/>
    <mergeCell ref="A26:C26"/>
    <mergeCell ref="B9:C9"/>
    <mergeCell ref="B28:C28"/>
    <mergeCell ref="B29:C29"/>
    <mergeCell ref="B30:C30"/>
    <mergeCell ref="A6:A7"/>
  </mergeCells>
  <dataValidations count="1">
    <dataValidation type="list" allowBlank="1" showInputMessage="1" showErrorMessage="1" sqref="B9:C9" xr:uid="{00000000-0002-0000-0100-000000000000}">
      <formula1>TAUX</formula1>
    </dataValidation>
  </dataValidations>
  <pageMargins left="0.82677165354330717" right="0" top="0.47244094488188981" bottom="0.98425196850393704" header="0.51181102362204722" footer="0.51181102362204722"/>
  <pageSetup paperSize="9" scale="91" orientation="landscape" r:id="rId1"/>
  <headerFooter alignWithMargins="0">
    <oddFooter>&amp;Lex/Coût Fix, 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2024 (x 13 mois)  </vt:lpstr>
      <vt:lpstr>2024 (x 12 mois)</vt:lpstr>
      <vt:lpstr>'2024 (x 12 mois)'!Zone_d_impression</vt:lpstr>
      <vt:lpstr>'2024 (x 13 mois)  '!Zone_d_impression</vt:lpstr>
    </vt:vector>
  </TitlesOfParts>
  <Company>Université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nguyenquang</dc:creator>
  <cp:lastModifiedBy>Joël Renier</cp:lastModifiedBy>
  <cp:lastPrinted>2014-09-10T10:22:59Z</cp:lastPrinted>
  <dcterms:created xsi:type="dcterms:W3CDTF">2003-03-21T09:31:13Z</dcterms:created>
  <dcterms:modified xsi:type="dcterms:W3CDTF">2024-02-06T10:19:14Z</dcterms:modified>
</cp:coreProperties>
</file>