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I:\SCGSI_Pole_Operationnel\MEMENTO\HISTORIQUE DES MODIFICATIONS\0095 - Remplacement en cas de maladie ou accident\25 07 28 - 0095 - 257441\"/>
    </mc:Choice>
  </mc:AlternateContent>
  <xr:revisionPtr revIDLastSave="0" documentId="8_{2F472156-DE3F-4F6C-8F92-75C60CC4A819}" xr6:coauthVersionLast="47" xr6:coauthVersionMax="47" xr10:uidLastSave="{00000000-0000-0000-0000-000000000000}"/>
  <bookViews>
    <workbookView xWindow="-19320" yWindow="690" windowWidth="19440" windowHeight="14880" xr2:uid="{00000000-000D-0000-FFFF-FFFF00000000}"/>
  </bookViews>
  <sheets>
    <sheet name="Feuil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1" i="2" l="1"/>
  <c r="E91" i="2"/>
  <c r="D91" i="2"/>
  <c r="E90" i="2"/>
  <c r="F90" i="2" s="1"/>
  <c r="D90" i="2"/>
  <c r="F89" i="2"/>
  <c r="E89" i="2"/>
  <c r="D89" i="2"/>
  <c r="F88" i="2"/>
  <c r="E88" i="2"/>
  <c r="D88" i="2"/>
  <c r="F87" i="2"/>
  <c r="E87" i="2"/>
  <c r="D87" i="2"/>
  <c r="E86" i="2"/>
  <c r="D86" i="2"/>
  <c r="B82" i="2"/>
  <c r="B69" i="2"/>
  <c r="B67" i="2"/>
  <c r="C69" i="2" s="1"/>
  <c r="C70" i="2" s="1"/>
  <c r="B15" i="2"/>
  <c r="C15" i="2" s="1"/>
  <c r="H11" i="2"/>
  <c r="F86" i="2" l="1"/>
  <c r="C19" i="2"/>
  <c r="C16" i="2"/>
  <c r="C17" i="2" s="1"/>
  <c r="I91" i="2"/>
  <c r="I89" i="2"/>
  <c r="I87" i="2"/>
  <c r="C71" i="2"/>
  <c r="C72" i="2" s="1"/>
  <c r="I90" i="2"/>
  <c r="I86" i="2"/>
  <c r="I92" i="2" s="1"/>
  <c r="I93" i="2" s="1"/>
  <c r="I88" i="2"/>
  <c r="C50" i="2" l="1"/>
  <c r="C51" i="2" s="1"/>
  <c r="C52" i="2" s="1"/>
  <c r="C45" i="2"/>
  <c r="C46" i="2" s="1"/>
  <c r="C47" i="2" s="1"/>
  <c r="C18" i="2"/>
  <c r="C31" i="2" s="1"/>
  <c r="C32" i="2" s="1"/>
  <c r="C33" i="2" s="1"/>
  <c r="C25" i="2"/>
  <c r="C26" i="2" s="1"/>
  <c r="C27" i="2" s="1"/>
  <c r="C28" i="2" l="1"/>
  <c r="C40" i="2" s="1"/>
  <c r="C37" i="2"/>
  <c r="C36" i="2"/>
  <c r="C34" i="2"/>
  <c r="C38" i="2" l="1"/>
  <c r="C41" i="2" s="1"/>
  <c r="C74" i="2" s="1"/>
  <c r="C76" i="2" s="1"/>
  <c r="C55" i="2"/>
  <c r="C57" i="2" s="1"/>
  <c r="C75" i="2" s="1"/>
  <c r="C95" i="2" l="1"/>
  <c r="G78" i="2"/>
  <c r="I78" i="2" l="1"/>
  <c r="C82" i="2"/>
</calcChain>
</file>

<file path=xl/sharedStrings.xml><?xml version="1.0" encoding="utf-8"?>
<sst xmlns="http://schemas.openxmlformats.org/spreadsheetml/2006/main" count="116" uniqueCount="93">
  <si>
    <t>Section salaires et assurances sociales</t>
  </si>
  <si>
    <t xml:space="preserve"> = données à introduire manuellement</t>
  </si>
  <si>
    <t>La personne accouchant</t>
  </si>
  <si>
    <t>Prénom</t>
  </si>
  <si>
    <t>Annuité</t>
  </si>
  <si>
    <t>Taux d'activité</t>
  </si>
  <si>
    <t>Absence 140 j. (du - au -)</t>
  </si>
  <si>
    <t>au</t>
  </si>
  <si>
    <r>
      <t xml:space="preserve">Salaire annuel brut à 100% </t>
    </r>
    <r>
      <rPr>
        <sz val="10"/>
        <rFont val="Calibri"/>
        <family val="2"/>
        <scheme val="minor"/>
      </rPr>
      <t>(13ème inclus)</t>
    </r>
  </si>
  <si>
    <t>Données pour le calcul de l'indemnité journalière :</t>
  </si>
  <si>
    <t>Salaire annuel brut versé à</t>
  </si>
  <si>
    <t xml:space="preserve">Salaire mensuel brut versé </t>
  </si>
  <si>
    <t>(base de calcul : mensuel divisé par 30 jours)</t>
  </si>
  <si>
    <r>
      <t xml:space="preserve">Salaire journalier brut </t>
    </r>
    <r>
      <rPr>
        <u/>
        <sz val="11"/>
        <color theme="1"/>
        <rFont val="Calibri"/>
        <family val="2"/>
        <scheme val="minor"/>
      </rPr>
      <t>Cantonal</t>
    </r>
    <r>
      <rPr>
        <sz val="11"/>
        <color theme="1"/>
        <rFont val="Calibri"/>
        <family val="2"/>
        <scheme val="minor"/>
      </rPr>
      <t xml:space="preserve"> (LAMat GE)</t>
    </r>
  </si>
  <si>
    <t>Salaire journalier brut GM</t>
  </si>
  <si>
    <t>(base de calcul : annuel divisé par 365 jours)</t>
  </si>
  <si>
    <t>Remboursement OCAS</t>
  </si>
  <si>
    <t>Les indemnités sont payés directement à l'employeur qui verse le salaire et les charges sociales</t>
  </si>
  <si>
    <t>Part Fédérale</t>
  </si>
  <si>
    <t>Montant du revenu journalier moyen</t>
  </si>
  <si>
    <t>arrondi au Fr. supérieur</t>
  </si>
  <si>
    <t>revenu journalier moyen</t>
  </si>
  <si>
    <t>x 80 % (allocation journalière Fédérale)</t>
  </si>
  <si>
    <t>x 98 jours (soit 14 semaines)</t>
  </si>
  <si>
    <t>Part Cantonale</t>
  </si>
  <si>
    <t>x 80 % (allocation journalière Cantonale)</t>
  </si>
  <si>
    <t>x 14 jours (soit 2 semaines)</t>
  </si>
  <si>
    <t>Part Cantonale GE</t>
  </si>
  <si>
    <t>Allocation journalière Cantonale</t>
  </si>
  <si>
    <t>LAMat GE</t>
  </si>
  <si>
    <t>- moins allocation journalière Fédérale</t>
  </si>
  <si>
    <t>LAPG Fédérale</t>
  </si>
  <si>
    <t>x 98 jours</t>
  </si>
  <si>
    <t>Couverture complémentaire LAMat GE</t>
  </si>
  <si>
    <t>+ charges patronales AVS/AI/APG/AC</t>
  </si>
  <si>
    <t>sur part Fédérale</t>
  </si>
  <si>
    <t xml:space="preserve"> </t>
  </si>
  <si>
    <t>montant brut à disposition par l'OCAS</t>
  </si>
  <si>
    <t>Remboursement Groupe Mutuel (GM)</t>
  </si>
  <si>
    <t>GM rembourse à 10% du salaire en complément à la LAPG</t>
  </si>
  <si>
    <t>arrondi au dixième</t>
  </si>
  <si>
    <t>coût journalier net</t>
  </si>
  <si>
    <t>montant à disposition</t>
  </si>
  <si>
    <r>
      <t>charges patronales non comprises, 13</t>
    </r>
    <r>
      <rPr>
        <i/>
        <vertAlign val="superscript"/>
        <sz val="11"/>
        <color theme="1"/>
        <rFont val="Calibri"/>
        <family val="2"/>
        <scheme val="minor"/>
      </rPr>
      <t>ème</t>
    </r>
    <r>
      <rPr>
        <i/>
        <sz val="11"/>
        <color theme="1"/>
        <rFont val="Calibri"/>
        <family val="2"/>
        <scheme val="minor"/>
      </rPr>
      <t xml:space="preserve"> salaire y compris</t>
    </r>
  </si>
  <si>
    <t>x 90 % x 28 jours (soit 4 semaines complémentaires)</t>
  </si>
  <si>
    <r>
      <t>charges patronales non comprises, 13</t>
    </r>
    <r>
      <rPr>
        <i/>
        <vertAlign val="superscript"/>
        <sz val="11"/>
        <color theme="1"/>
        <rFont val="Calibri"/>
        <family val="2"/>
        <scheme val="minor"/>
      </rPr>
      <t xml:space="preserve">ème </t>
    </r>
    <r>
      <rPr>
        <i/>
        <sz val="11"/>
        <color theme="1"/>
        <rFont val="Calibri"/>
        <family val="2"/>
        <scheme val="minor"/>
      </rPr>
      <t>salaire y compris</t>
    </r>
  </si>
  <si>
    <t>Couverture part du salaire exédentaire</t>
  </si>
  <si>
    <t>couverture plafonnée pour un salaire jusqu'à hauteur de 12'350.-</t>
  </si>
  <si>
    <t>montant total à disposition par le Groupe Mutuel</t>
  </si>
  <si>
    <t>La personne prévue pour le remplacement</t>
  </si>
  <si>
    <t>Remplacement dès le</t>
  </si>
  <si>
    <r>
      <t xml:space="preserve">Salaire annuel brut à 100% </t>
    </r>
    <r>
      <rPr>
        <sz val="10"/>
        <color theme="1"/>
        <rFont val="Calibri"/>
        <family val="2"/>
        <scheme val="minor"/>
      </rPr>
      <t>(13ème inclus)</t>
    </r>
  </si>
  <si>
    <r>
      <t>Salaire mensuel brut à 100%</t>
    </r>
    <r>
      <rPr>
        <sz val="10"/>
        <rFont val="Calibri"/>
        <family val="2"/>
        <scheme val="minor"/>
      </rPr>
      <t xml:space="preserve"> (13ème inclus)</t>
    </r>
  </si>
  <si>
    <t xml:space="preserve">Salaire mensuel brut versé à </t>
  </si>
  <si>
    <t>(13ème inclus)</t>
  </si>
  <si>
    <t>Salaire journalier HC</t>
  </si>
  <si>
    <t>(Hors charges)</t>
  </si>
  <si>
    <t>Salaire journalier TTC</t>
  </si>
  <si>
    <t>(charges sociales 23% incluses )</t>
  </si>
  <si>
    <t>(arrondi au Fr. supérieur)</t>
  </si>
  <si>
    <t>Montant disponible par l'OCAS</t>
  </si>
  <si>
    <t>Montant dispondible par le Groupe Mutuel</t>
  </si>
  <si>
    <t>TOTAL DISPONIBLE</t>
  </si>
  <si>
    <t>jours</t>
  </si>
  <si>
    <t>semaines</t>
  </si>
  <si>
    <t>Total des jours civils de remplacement, y compris les samedis et les dimanches donc 7 jours par semaine 
+ charges patronales comprises et 13ème salaire compris).</t>
  </si>
  <si>
    <t xml:space="preserve">Durée engagement remplaçant : </t>
  </si>
  <si>
    <t>du</t>
  </si>
  <si>
    <t>Preuve du coût du remplacement</t>
  </si>
  <si>
    <t>Nombre de jours
de remplacement
(mois de 30 jours)</t>
  </si>
  <si>
    <t>Montants</t>
  </si>
  <si>
    <t>Décompte</t>
  </si>
  <si>
    <t>Contrôle cellule "du"</t>
  </si>
  <si>
    <t>Contrôle cellule "au"</t>
  </si>
  <si>
    <t>Test Du_Au</t>
  </si>
  <si>
    <t>Période</t>
  </si>
  <si>
    <t>Total salaire brut</t>
  </si>
  <si>
    <t>Total salaire + 23% charges sociales</t>
  </si>
  <si>
    <t>SOLDE</t>
  </si>
  <si>
    <t>(correspond à la différence entre le remboursement de l'assurance et le montant utilisé pour le remplacement)</t>
  </si>
  <si>
    <t>Nom</t>
  </si>
  <si>
    <t>Classe</t>
  </si>
  <si>
    <t>x 10 % x 112 jours (soit 16 semaines)</t>
  </si>
  <si>
    <t xml:space="preserve">Nom </t>
  </si>
  <si>
    <t>Disponibilité pour le remplacement</t>
  </si>
  <si>
    <t>LAMat GE rembourse 80% du salaire (alloc. journalière min. 62.- max. 329.60.-)</t>
  </si>
  <si>
    <r>
      <t>GM rembourse 90% du salaire de la 17</t>
    </r>
    <r>
      <rPr>
        <i/>
        <vertAlign val="superscript"/>
        <sz val="11"/>
        <color theme="1"/>
        <rFont val="Calibri"/>
        <family val="2"/>
        <scheme val="minor"/>
      </rPr>
      <t>ème</t>
    </r>
    <r>
      <rPr>
        <i/>
        <sz val="11"/>
        <color theme="1"/>
        <rFont val="Calibri"/>
        <family val="2"/>
        <scheme val="minor"/>
      </rPr>
      <t xml:space="preserve"> à 20</t>
    </r>
    <r>
      <rPr>
        <i/>
        <vertAlign val="superscript"/>
        <sz val="11"/>
        <color theme="1"/>
        <rFont val="Calibri"/>
        <family val="2"/>
        <scheme val="minor"/>
      </rPr>
      <t>ème</t>
    </r>
    <r>
      <rPr>
        <i/>
        <sz val="11"/>
        <color theme="1"/>
        <rFont val="Calibri"/>
        <family val="2"/>
        <scheme val="minor"/>
      </rPr>
      <t xml:space="preserve"> semaine</t>
    </r>
  </si>
  <si>
    <r>
      <rPr>
        <sz val="18"/>
        <rFont val="Calibri"/>
        <family val="2"/>
        <scheme val="minor"/>
      </rPr>
      <t>GROUPE MUTUEL (GM) - valeurs 2025</t>
    </r>
    <r>
      <rPr>
        <b/>
        <sz val="18"/>
        <rFont val="Calibri"/>
        <family val="2"/>
        <scheme val="minor"/>
      </rPr>
      <t xml:space="preserve">
CALCUL POUR REMPLACEMENT CONGE MATERNITE
</t>
    </r>
    <r>
      <rPr>
        <sz val="18"/>
        <rFont val="Calibri"/>
        <family val="2"/>
        <scheme val="minor"/>
      </rPr>
      <t>comprenant les indemnisations et le coût total du remplacement</t>
    </r>
  </si>
  <si>
    <r>
      <t xml:space="preserve">Salaire journalier brut </t>
    </r>
    <r>
      <rPr>
        <u/>
        <sz val="11"/>
        <color theme="1"/>
        <rFont val="Calibri"/>
        <family val="2"/>
        <scheme val="minor"/>
      </rPr>
      <t>Fédéral</t>
    </r>
    <r>
      <rPr>
        <sz val="11"/>
        <color theme="1"/>
        <rFont val="Calibri"/>
        <family val="2"/>
        <scheme val="minor"/>
      </rPr>
      <t xml:space="preserve"> (plafonné à CHF 275.-)</t>
    </r>
  </si>
  <si>
    <t>LAPG rembourse 80% du salaire (alloc. journalière max. 220.-)</t>
  </si>
  <si>
    <t>plafonné à 412.- (valeur 2018 inchangée en 2025)</t>
  </si>
  <si>
    <t xml:space="preserve">L'indemnité journalière est plafonnée à CHF 220.- pour les revenus supérieurs à CHF 8'250.- (valeur 2025) </t>
  </si>
  <si>
    <t>plafonnée à CHF 275.- (valeur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</si>
</sst>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d\ mmmm\ yyyy"/>
    <numFmt numFmtId="166" formatCode="[$CHF]\ #,##0.0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</fills>
  <borders count="31">
    <border>
      <left/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FF0000"/>
      </right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theme="1"/>
      </bottom>
      <diagonal/>
    </border>
    <border>
      <left style="thin">
        <color theme="1"/>
      </left>
      <right style="thin">
        <color theme="1"/>
      </right>
      <top style="medium">
        <color rgb="FFFF0000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FF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3" borderId="1" xfId="0" quotePrefix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4" borderId="3" xfId="0" applyFont="1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8" fillId="4" borderId="5" xfId="0" applyFont="1" applyFill="1" applyBorder="1" applyAlignment="1">
      <alignment vertical="center"/>
    </xf>
    <xf numFmtId="0" fontId="7" fillId="5" borderId="6" xfId="0" applyFont="1" applyFill="1" applyBorder="1" applyAlignment="1">
      <alignment vertical="center"/>
    </xf>
    <xf numFmtId="0" fontId="8" fillId="5" borderId="0" xfId="0" applyFont="1" applyFill="1" applyAlignment="1">
      <alignment vertical="center"/>
    </xf>
    <xf numFmtId="0" fontId="8" fillId="5" borderId="7" xfId="0" applyFont="1" applyFill="1" applyBorder="1" applyAlignment="1">
      <alignment vertical="center"/>
    </xf>
    <xf numFmtId="0" fontId="0" fillId="5" borderId="6" xfId="0" applyFill="1" applyBorder="1" applyAlignment="1">
      <alignment vertical="center"/>
    </xf>
    <xf numFmtId="0" fontId="9" fillId="3" borderId="8" xfId="0" applyFont="1" applyFill="1" applyBorder="1" applyAlignment="1" applyProtection="1">
      <alignment horizontal="center" vertical="center"/>
      <protection locked="0"/>
    </xf>
    <xf numFmtId="0" fontId="0" fillId="5" borderId="0" xfId="0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0" fillId="5" borderId="10" xfId="0" applyFill="1" applyBorder="1" applyAlignment="1">
      <alignment vertical="center"/>
    </xf>
    <xf numFmtId="0" fontId="0" fillId="5" borderId="11" xfId="0" applyFill="1" applyBorder="1" applyAlignment="1">
      <alignment vertical="center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0" fillId="5" borderId="2" xfId="0" applyFill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5" borderId="7" xfId="0" applyFill="1" applyBorder="1" applyAlignment="1">
      <alignment vertical="center"/>
    </xf>
    <xf numFmtId="9" fontId="9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5" borderId="2" xfId="0" applyFill="1" applyBorder="1" applyAlignment="1">
      <alignment vertical="center"/>
    </xf>
    <xf numFmtId="0" fontId="0" fillId="5" borderId="13" xfId="0" applyFill="1" applyBorder="1" applyAlignment="1">
      <alignment horizontal="center" vertical="center"/>
    </xf>
    <xf numFmtId="0" fontId="4" fillId="5" borderId="11" xfId="0" applyFont="1" applyFill="1" applyBorder="1" applyAlignment="1">
      <alignment vertical="center"/>
    </xf>
    <xf numFmtId="165" fontId="4" fillId="3" borderId="1" xfId="0" applyNumberFormat="1" applyFont="1" applyFill="1" applyBorder="1" applyAlignment="1" applyProtection="1">
      <alignment horizontal="center" vertical="center"/>
      <protection locked="0"/>
    </xf>
    <xf numFmtId="4" fontId="9" fillId="3" borderId="15" xfId="0" applyNumberFormat="1" applyFont="1" applyFill="1" applyBorder="1" applyAlignment="1" applyProtection="1">
      <alignment horizontal="center" vertical="center"/>
      <protection locked="0"/>
    </xf>
    <xf numFmtId="0" fontId="11" fillId="5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0" fillId="5" borderId="0" xfId="0" applyFill="1" applyAlignment="1">
      <alignment vertical="center"/>
    </xf>
    <xf numFmtId="0" fontId="11" fillId="5" borderId="7" xfId="0" applyFont="1" applyFill="1" applyBorder="1" applyAlignment="1">
      <alignment vertical="center"/>
    </xf>
    <xf numFmtId="0" fontId="1" fillId="5" borderId="6" xfId="0" applyFont="1" applyFill="1" applyBorder="1" applyAlignment="1">
      <alignment vertical="center"/>
    </xf>
    <xf numFmtId="0" fontId="12" fillId="5" borderId="7" xfId="0" applyFont="1" applyFill="1" applyBorder="1" applyAlignment="1">
      <alignment vertical="center"/>
    </xf>
    <xf numFmtId="9" fontId="0" fillId="5" borderId="0" xfId="0" applyNumberFormat="1" applyFill="1" applyAlignment="1">
      <alignment horizontal="left" vertical="center"/>
    </xf>
    <xf numFmtId="3" fontId="0" fillId="5" borderId="0" xfId="0" applyNumberFormat="1" applyFill="1" applyAlignment="1">
      <alignment horizontal="right" vertical="center"/>
    </xf>
    <xf numFmtId="0" fontId="12" fillId="5" borderId="0" xfId="0" applyFont="1" applyFill="1" applyAlignment="1">
      <alignment vertical="center"/>
    </xf>
    <xf numFmtId="2" fontId="0" fillId="5" borderId="0" xfId="0" applyNumberFormat="1" applyFill="1" applyAlignment="1">
      <alignment vertical="center"/>
    </xf>
    <xf numFmtId="2" fontId="0" fillId="0" borderId="0" xfId="0" applyNumberFormat="1" applyAlignment="1">
      <alignment vertical="center"/>
    </xf>
    <xf numFmtId="0" fontId="0" fillId="5" borderId="16" xfId="0" applyFill="1" applyBorder="1" applyAlignment="1">
      <alignment vertical="center"/>
    </xf>
    <xf numFmtId="0" fontId="0" fillId="5" borderId="17" xfId="0" applyFill="1" applyBorder="1" applyAlignment="1">
      <alignment vertical="center"/>
    </xf>
    <xf numFmtId="2" fontId="0" fillId="5" borderId="17" xfId="0" applyNumberFormat="1" applyFill="1" applyBorder="1" applyAlignment="1">
      <alignment vertical="center"/>
    </xf>
    <xf numFmtId="0" fontId="12" fillId="5" borderId="17" xfId="0" applyFont="1" applyFill="1" applyBorder="1" applyAlignment="1">
      <alignment vertical="center"/>
    </xf>
    <xf numFmtId="0" fontId="0" fillId="5" borderId="18" xfId="0" applyFill="1" applyBorder="1" applyAlignment="1">
      <alignment vertical="center"/>
    </xf>
    <xf numFmtId="0" fontId="1" fillId="6" borderId="3" xfId="0" applyFont="1" applyFill="1" applyBorder="1" applyAlignment="1">
      <alignment vertical="center"/>
    </xf>
    <xf numFmtId="2" fontId="12" fillId="7" borderId="4" xfId="0" applyNumberFormat="1" applyFont="1" applyFill="1" applyBorder="1" applyAlignment="1">
      <alignment vertical="center"/>
    </xf>
    <xf numFmtId="2" fontId="0" fillId="7" borderId="4" xfId="0" applyNumberFormat="1" applyFill="1" applyBorder="1" applyAlignment="1">
      <alignment vertical="center"/>
    </xf>
    <xf numFmtId="0" fontId="0" fillId="7" borderId="4" xfId="0" applyFill="1" applyBorder="1" applyAlignment="1">
      <alignment vertical="center"/>
    </xf>
    <xf numFmtId="0" fontId="0" fillId="7" borderId="5" xfId="0" applyFill="1" applyBorder="1" applyAlignment="1">
      <alignment vertical="center"/>
    </xf>
    <xf numFmtId="0" fontId="14" fillId="7" borderId="6" xfId="0" applyFont="1" applyFill="1" applyBorder="1" applyAlignment="1">
      <alignment vertical="center"/>
    </xf>
    <xf numFmtId="2" fontId="15" fillId="7" borderId="0" xfId="0" applyNumberFormat="1" applyFont="1" applyFill="1" applyAlignment="1">
      <alignment vertical="center"/>
    </xf>
    <xf numFmtId="2" fontId="0" fillId="7" borderId="0" xfId="0" applyNumberFormat="1" applyFill="1" applyAlignment="1">
      <alignment vertical="center"/>
    </xf>
    <xf numFmtId="0" fontId="0" fillId="7" borderId="0" xfId="0" applyFill="1" applyAlignment="1">
      <alignment vertical="center"/>
    </xf>
    <xf numFmtId="0" fontId="0" fillId="7" borderId="7" xfId="0" applyFill="1" applyBorder="1" applyAlignment="1">
      <alignment vertical="center"/>
    </xf>
    <xf numFmtId="2" fontId="12" fillId="7" borderId="0" xfId="0" applyNumberFormat="1" applyFont="1" applyFill="1" applyAlignment="1">
      <alignment vertical="center"/>
    </xf>
    <xf numFmtId="0" fontId="0" fillId="7" borderId="6" xfId="0" applyFill="1" applyBorder="1" applyAlignment="1">
      <alignment horizontal="left" vertical="center"/>
    </xf>
    <xf numFmtId="0" fontId="12" fillId="7" borderId="0" xfId="0" applyFont="1" applyFill="1" applyAlignment="1">
      <alignment vertical="center"/>
    </xf>
    <xf numFmtId="0" fontId="0" fillId="7" borderId="6" xfId="0" applyFill="1" applyBorder="1" applyAlignment="1">
      <alignment vertical="center"/>
    </xf>
    <xf numFmtId="2" fontId="0" fillId="7" borderId="0" xfId="0" applyNumberFormat="1" applyFill="1" applyAlignment="1">
      <alignment horizontal="right" vertical="center"/>
    </xf>
    <xf numFmtId="2" fontId="0" fillId="7" borderId="19" xfId="0" applyNumberFormat="1" applyFill="1" applyBorder="1" applyAlignment="1">
      <alignment vertical="center"/>
    </xf>
    <xf numFmtId="4" fontId="0" fillId="7" borderId="20" xfId="0" applyNumberFormat="1" applyFill="1" applyBorder="1" applyAlignment="1">
      <alignment vertical="center"/>
    </xf>
    <xf numFmtId="4" fontId="0" fillId="7" borderId="0" xfId="0" applyNumberFormat="1" applyFill="1" applyAlignment="1">
      <alignment vertical="center"/>
    </xf>
    <xf numFmtId="2" fontId="0" fillId="7" borderId="17" xfId="0" applyNumberFormat="1" applyFill="1" applyBorder="1" applyAlignment="1">
      <alignment vertical="center"/>
    </xf>
    <xf numFmtId="0" fontId="0" fillId="7" borderId="6" xfId="0" quotePrefix="1" applyFill="1" applyBorder="1" applyAlignment="1">
      <alignment vertical="center"/>
    </xf>
    <xf numFmtId="4" fontId="0" fillId="7" borderId="17" xfId="0" applyNumberFormat="1" applyFill="1" applyBorder="1" applyAlignment="1">
      <alignment vertical="center"/>
    </xf>
    <xf numFmtId="0" fontId="12" fillId="7" borderId="0" xfId="0" quotePrefix="1" applyFont="1" applyFill="1" applyAlignment="1">
      <alignment vertical="center"/>
    </xf>
    <xf numFmtId="0" fontId="0" fillId="7" borderId="16" xfId="0" applyFill="1" applyBorder="1" applyAlignment="1">
      <alignment vertical="center"/>
    </xf>
    <xf numFmtId="0" fontId="0" fillId="7" borderId="17" xfId="0" applyFill="1" applyBorder="1" applyAlignment="1">
      <alignment vertical="center"/>
    </xf>
    <xf numFmtId="166" fontId="1" fillId="6" borderId="17" xfId="0" applyNumberFormat="1" applyFont="1" applyFill="1" applyBorder="1" applyAlignment="1">
      <alignment vertical="center"/>
    </xf>
    <xf numFmtId="166" fontId="1" fillId="7" borderId="17" xfId="0" applyNumberFormat="1" applyFont="1" applyFill="1" applyBorder="1" applyAlignment="1">
      <alignment vertical="center"/>
    </xf>
    <xf numFmtId="0" fontId="1" fillId="7" borderId="17" xfId="0" applyFont="1" applyFill="1" applyBorder="1" applyAlignment="1">
      <alignment vertical="center"/>
    </xf>
    <xf numFmtId="0" fontId="0" fillId="7" borderId="18" xfId="0" applyFill="1" applyBorder="1" applyAlignment="1">
      <alignment vertical="center"/>
    </xf>
    <xf numFmtId="0" fontId="1" fillId="8" borderId="3" xfId="0" applyFont="1" applyFill="1" applyBorder="1" applyAlignment="1">
      <alignment vertical="center"/>
    </xf>
    <xf numFmtId="0" fontId="0" fillId="9" borderId="4" xfId="0" applyFill="1" applyBorder="1" applyAlignment="1">
      <alignment vertical="center"/>
    </xf>
    <xf numFmtId="0" fontId="0" fillId="9" borderId="5" xfId="0" applyFill="1" applyBorder="1" applyAlignment="1">
      <alignment vertical="center"/>
    </xf>
    <xf numFmtId="0" fontId="14" fillId="9" borderId="6" xfId="0" applyFont="1" applyFill="1" applyBorder="1" applyAlignment="1">
      <alignment horizontal="left" vertical="center"/>
    </xf>
    <xf numFmtId="2" fontId="0" fillId="9" borderId="0" xfId="0" applyNumberFormat="1" applyFill="1" applyAlignment="1">
      <alignment vertical="center"/>
    </xf>
    <xf numFmtId="0" fontId="0" fillId="9" borderId="0" xfId="0" applyFill="1" applyAlignment="1">
      <alignment vertical="center"/>
    </xf>
    <xf numFmtId="0" fontId="0" fillId="9" borderId="7" xfId="0" applyFill="1" applyBorder="1" applyAlignment="1">
      <alignment vertical="center"/>
    </xf>
    <xf numFmtId="0" fontId="0" fillId="9" borderId="6" xfId="0" applyFill="1" applyBorder="1" applyAlignment="1">
      <alignment vertical="center"/>
    </xf>
    <xf numFmtId="0" fontId="12" fillId="9" borderId="0" xfId="0" applyFont="1" applyFill="1" applyAlignment="1">
      <alignment vertical="center"/>
    </xf>
    <xf numFmtId="2" fontId="1" fillId="9" borderId="0" xfId="0" applyNumberFormat="1" applyFont="1" applyFill="1" applyAlignment="1">
      <alignment vertical="center"/>
    </xf>
    <xf numFmtId="2" fontId="0" fillId="9" borderId="17" xfId="0" applyNumberFormat="1" applyFill="1" applyBorder="1" applyAlignment="1">
      <alignment horizontal="right" vertical="center"/>
    </xf>
    <xf numFmtId="2" fontId="0" fillId="9" borderId="0" xfId="0" applyNumberFormat="1" applyFill="1" applyAlignment="1">
      <alignment horizontal="right" vertical="center"/>
    </xf>
    <xf numFmtId="4" fontId="1" fillId="9" borderId="0" xfId="0" applyNumberFormat="1" applyFont="1" applyFill="1" applyAlignment="1">
      <alignment vertical="center"/>
    </xf>
    <xf numFmtId="0" fontId="1" fillId="9" borderId="0" xfId="0" applyFont="1" applyFill="1" applyAlignment="1">
      <alignment vertical="center"/>
    </xf>
    <xf numFmtId="39" fontId="1" fillId="9" borderId="4" xfId="0" applyNumberFormat="1" applyFont="1" applyFill="1" applyBorder="1" applyAlignment="1">
      <alignment vertical="center"/>
    </xf>
    <xf numFmtId="164" fontId="1" fillId="9" borderId="0" xfId="0" applyNumberFormat="1" applyFont="1" applyFill="1" applyAlignment="1">
      <alignment vertical="center"/>
    </xf>
    <xf numFmtId="4" fontId="1" fillId="9" borderId="22" xfId="0" applyNumberFormat="1" applyFont="1" applyFill="1" applyBorder="1" applyAlignment="1">
      <alignment vertical="center"/>
    </xf>
    <xf numFmtId="4" fontId="1" fillId="8" borderId="0" xfId="0" applyNumberFormat="1" applyFont="1" applyFill="1" applyAlignment="1">
      <alignment vertical="center"/>
    </xf>
    <xf numFmtId="0" fontId="0" fillId="9" borderId="16" xfId="0" applyFill="1" applyBorder="1" applyAlignment="1">
      <alignment vertical="center"/>
    </xf>
    <xf numFmtId="0" fontId="0" fillId="9" borderId="17" xfId="0" applyFill="1" applyBorder="1" applyAlignment="1">
      <alignment vertical="center"/>
    </xf>
    <xf numFmtId="0" fontId="12" fillId="9" borderId="17" xfId="0" applyFont="1" applyFill="1" applyBorder="1" applyAlignment="1">
      <alignment vertical="center"/>
    </xf>
    <xf numFmtId="0" fontId="0" fillId="9" borderId="18" xfId="0" applyFill="1" applyBorder="1" applyAlignment="1">
      <alignment vertical="center"/>
    </xf>
    <xf numFmtId="0" fontId="17" fillId="4" borderId="4" xfId="0" applyFont="1" applyFill="1" applyBorder="1" applyAlignment="1">
      <alignment vertical="center"/>
    </xf>
    <xf numFmtId="0" fontId="17" fillId="4" borderId="5" xfId="0" applyFont="1" applyFill="1" applyBorder="1" applyAlignment="1">
      <alignment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right" vertical="center"/>
    </xf>
    <xf numFmtId="0" fontId="1" fillId="5" borderId="0" xfId="0" applyFont="1" applyFill="1" applyAlignment="1">
      <alignment horizontal="center" vertical="center"/>
    </xf>
    <xf numFmtId="9" fontId="1" fillId="3" borderId="15" xfId="0" applyNumberFormat="1" applyFont="1" applyFill="1" applyBorder="1" applyAlignment="1" applyProtection="1">
      <alignment horizontal="center" vertical="center"/>
      <protection locked="0"/>
    </xf>
    <xf numFmtId="0" fontId="0" fillId="5" borderId="0" xfId="0" applyFill="1" applyAlignment="1">
      <alignment horizontal="center" vertical="center"/>
    </xf>
    <xf numFmtId="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vertical="center"/>
    </xf>
    <xf numFmtId="0" fontId="4" fillId="5" borderId="6" xfId="0" applyFont="1" applyFill="1" applyBorder="1" applyAlignment="1">
      <alignment vertical="center"/>
    </xf>
    <xf numFmtId="4" fontId="1" fillId="5" borderId="23" xfId="0" applyNumberFormat="1" applyFont="1" applyFill="1" applyBorder="1" applyAlignment="1">
      <alignment horizontal="center" vertical="center"/>
    </xf>
    <xf numFmtId="4" fontId="9" fillId="5" borderId="0" xfId="0" applyNumberFormat="1" applyFont="1" applyFill="1" applyAlignment="1">
      <alignment horizontal="right" vertical="center"/>
    </xf>
    <xf numFmtId="0" fontId="4" fillId="5" borderId="16" xfId="0" applyFont="1" applyFill="1" applyBorder="1" applyAlignment="1">
      <alignment vertical="center"/>
    </xf>
    <xf numFmtId="2" fontId="9" fillId="5" borderId="17" xfId="0" applyNumberFormat="1" applyFont="1" applyFill="1" applyBorder="1" applyAlignment="1">
      <alignment horizontal="right" vertical="center"/>
    </xf>
    <xf numFmtId="0" fontId="11" fillId="5" borderId="17" xfId="0" applyFont="1" applyFill="1" applyBorder="1" applyAlignment="1">
      <alignment vertical="center"/>
    </xf>
    <xf numFmtId="0" fontId="12" fillId="5" borderId="18" xfId="0" applyFont="1" applyFill="1" applyBorder="1" applyAlignment="1">
      <alignment vertical="center"/>
    </xf>
    <xf numFmtId="2" fontId="0" fillId="7" borderId="3" xfId="0" applyNumberFormat="1" applyFill="1" applyBorder="1" applyAlignment="1">
      <alignment vertical="center"/>
    </xf>
    <xf numFmtId="4" fontId="0" fillId="6" borderId="4" xfId="0" applyNumberFormat="1" applyFill="1" applyBorder="1" applyAlignment="1">
      <alignment vertical="center"/>
    </xf>
    <xf numFmtId="4" fontId="0" fillId="7" borderId="4" xfId="0" applyNumberFormat="1" applyFill="1" applyBorder="1" applyAlignment="1">
      <alignment vertical="center"/>
    </xf>
    <xf numFmtId="2" fontId="0" fillId="7" borderId="5" xfId="0" applyNumberFormat="1" applyFill="1" applyBorder="1" applyAlignment="1">
      <alignment vertical="center"/>
    </xf>
    <xf numFmtId="2" fontId="0" fillId="9" borderId="6" xfId="0" applyNumberFormat="1" applyFill="1" applyBorder="1" applyAlignment="1">
      <alignment vertical="center"/>
    </xf>
    <xf numFmtId="4" fontId="0" fillId="8" borderId="22" xfId="0" applyNumberFormat="1" applyFill="1" applyBorder="1" applyAlignment="1">
      <alignment vertical="center"/>
    </xf>
    <xf numFmtId="4" fontId="0" fillId="9" borderId="0" xfId="0" applyNumberFormat="1" applyFill="1" applyAlignment="1">
      <alignment vertical="center"/>
    </xf>
    <xf numFmtId="2" fontId="0" fillId="9" borderId="7" xfId="0" applyNumberFormat="1" applyFill="1" applyBorder="1" applyAlignment="1">
      <alignment vertical="center"/>
    </xf>
    <xf numFmtId="0" fontId="4" fillId="10" borderId="16" xfId="0" applyFont="1" applyFill="1" applyBorder="1" applyAlignment="1">
      <alignment vertical="center"/>
    </xf>
    <xf numFmtId="2" fontId="9" fillId="10" borderId="17" xfId="0" applyNumberFormat="1" applyFont="1" applyFill="1" applyBorder="1" applyAlignment="1">
      <alignment vertical="center"/>
    </xf>
    <xf numFmtId="4" fontId="1" fillId="10" borderId="17" xfId="0" applyNumberFormat="1" applyFont="1" applyFill="1" applyBorder="1" applyAlignment="1">
      <alignment vertical="center"/>
    </xf>
    <xf numFmtId="4" fontId="19" fillId="10" borderId="17" xfId="0" applyNumberFormat="1" applyFont="1" applyFill="1" applyBorder="1" applyAlignment="1">
      <alignment vertical="center"/>
    </xf>
    <xf numFmtId="0" fontId="0" fillId="10" borderId="17" xfId="0" applyFill="1" applyBorder="1" applyAlignment="1">
      <alignment vertical="center"/>
    </xf>
    <xf numFmtId="0" fontId="0" fillId="10" borderId="18" xfId="0" applyFill="1" applyBorder="1" applyAlignment="1">
      <alignment vertical="center"/>
    </xf>
    <xf numFmtId="0" fontId="0" fillId="0" borderId="3" xfId="0" applyBorder="1" applyAlignment="1">
      <alignment vertical="center"/>
    </xf>
    <xf numFmtId="2" fontId="9" fillId="0" borderId="4" xfId="0" applyNumberFormat="1" applyFont="1" applyBorder="1" applyAlignment="1">
      <alignment vertical="center"/>
    </xf>
    <xf numFmtId="4" fontId="9" fillId="0" borderId="4" xfId="0" applyNumberFormat="1" applyFont="1" applyBorder="1" applyAlignment="1">
      <alignment vertical="center"/>
    </xf>
    <xf numFmtId="0" fontId="9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2" fontId="4" fillId="9" borderId="6" xfId="0" applyNumberFormat="1" applyFont="1" applyFill="1" applyBorder="1" applyAlignment="1">
      <alignment vertical="center"/>
    </xf>
    <xf numFmtId="2" fontId="4" fillId="9" borderId="0" xfId="0" applyNumberFormat="1" applyFont="1" applyFill="1" applyAlignment="1">
      <alignment vertical="center"/>
    </xf>
    <xf numFmtId="2" fontId="4" fillId="9" borderId="7" xfId="0" applyNumberFormat="1" applyFont="1" applyFill="1" applyBorder="1" applyAlignment="1">
      <alignment vertical="center"/>
    </xf>
    <xf numFmtId="0" fontId="9" fillId="5" borderId="3" xfId="0" applyFont="1" applyFill="1" applyBorder="1" applyAlignment="1">
      <alignment horizontal="left" vertical="center"/>
    </xf>
    <xf numFmtId="2" fontId="9" fillId="5" borderId="4" xfId="0" applyNumberFormat="1" applyFont="1" applyFill="1" applyBorder="1" applyAlignment="1">
      <alignment horizontal="right" vertical="center"/>
    </xf>
    <xf numFmtId="2" fontId="4" fillId="5" borderId="4" xfId="0" applyNumberFormat="1" applyFont="1" applyFill="1" applyBorder="1" applyAlignment="1">
      <alignment vertical="center"/>
    </xf>
    <xf numFmtId="0" fontId="0" fillId="5" borderId="4" xfId="0" applyFill="1" applyBorder="1" applyAlignment="1">
      <alignment vertical="center"/>
    </xf>
    <xf numFmtId="0" fontId="0" fillId="5" borderId="5" xfId="0" applyFill="1" applyBorder="1" applyAlignment="1">
      <alignment vertical="center"/>
    </xf>
    <xf numFmtId="0" fontId="4" fillId="9" borderId="16" xfId="0" applyFont="1" applyFill="1" applyBorder="1" applyAlignment="1">
      <alignment vertical="center"/>
    </xf>
    <xf numFmtId="165" fontId="4" fillId="9" borderId="17" xfId="0" applyNumberFormat="1" applyFont="1" applyFill="1" applyBorder="1" applyAlignment="1">
      <alignment horizontal="right" vertical="center"/>
    </xf>
    <xf numFmtId="165" fontId="9" fillId="9" borderId="17" xfId="0" applyNumberFormat="1" applyFont="1" applyFill="1" applyBorder="1" applyAlignment="1">
      <alignment vertical="center"/>
    </xf>
    <xf numFmtId="0" fontId="9" fillId="5" borderId="3" xfId="0" applyFont="1" applyFill="1" applyBorder="1" applyAlignment="1">
      <alignment vertical="center"/>
    </xf>
    <xf numFmtId="2" fontId="9" fillId="5" borderId="4" xfId="0" applyNumberFormat="1" applyFont="1" applyFill="1" applyBorder="1" applyAlignment="1">
      <alignment vertical="center"/>
    </xf>
    <xf numFmtId="0" fontId="9" fillId="5" borderId="6" xfId="0" applyFont="1" applyFill="1" applyBorder="1" applyAlignment="1">
      <alignment vertical="center"/>
    </xf>
    <xf numFmtId="0" fontId="0" fillId="5" borderId="0" xfId="0" applyFill="1"/>
    <xf numFmtId="165" fontId="9" fillId="3" borderId="24" xfId="0" applyNumberFormat="1" applyFont="1" applyFill="1" applyBorder="1" applyAlignment="1" applyProtection="1">
      <alignment horizontal="right" vertical="center"/>
      <protection locked="0"/>
    </xf>
    <xf numFmtId="165" fontId="9" fillId="0" borderId="0" xfId="0" applyNumberFormat="1" applyFont="1" applyAlignment="1" applyProtection="1">
      <alignment horizontal="center"/>
      <protection locked="0"/>
    </xf>
    <xf numFmtId="2" fontId="4" fillId="5" borderId="0" xfId="0" applyNumberFormat="1" applyFont="1" applyFill="1" applyAlignment="1" applyProtection="1">
      <alignment horizontal="right"/>
      <protection hidden="1"/>
    </xf>
    <xf numFmtId="4" fontId="0" fillId="5" borderId="7" xfId="0" applyNumberFormat="1" applyFill="1" applyBorder="1"/>
    <xf numFmtId="4" fontId="0" fillId="5" borderId="7" xfId="0" applyNumberFormat="1" applyFill="1" applyBorder="1" applyAlignment="1">
      <alignment vertical="center"/>
    </xf>
    <xf numFmtId="4" fontId="9" fillId="10" borderId="25" xfId="0" applyNumberFormat="1" applyFont="1" applyFill="1" applyBorder="1" applyAlignment="1">
      <alignment vertical="center"/>
    </xf>
    <xf numFmtId="0" fontId="20" fillId="10" borderId="26" xfId="0" applyFont="1" applyFill="1" applyBorder="1" applyAlignment="1">
      <alignment vertical="center"/>
    </xf>
    <xf numFmtId="0" fontId="21" fillId="10" borderId="27" xfId="0" applyFont="1" applyFill="1" applyBorder="1" applyAlignment="1">
      <alignment vertical="center"/>
    </xf>
    <xf numFmtId="166" fontId="20" fillId="10" borderId="27" xfId="0" applyNumberFormat="1" applyFont="1" applyFill="1" applyBorder="1" applyAlignment="1">
      <alignment horizontal="center" vertical="center"/>
    </xf>
    <xf numFmtId="2" fontId="22" fillId="10" borderId="27" xfId="0" applyNumberFormat="1" applyFont="1" applyFill="1" applyBorder="1" applyAlignment="1">
      <alignment vertical="center"/>
    </xf>
    <xf numFmtId="0" fontId="0" fillId="0" borderId="29" xfId="0" applyBorder="1" applyAlignment="1">
      <alignment horizontal="right" vertical="center"/>
    </xf>
    <xf numFmtId="165" fontId="0" fillId="0" borderId="0" xfId="0" applyNumberFormat="1" applyAlignment="1">
      <alignment vertical="center"/>
    </xf>
    <xf numFmtId="0" fontId="9" fillId="5" borderId="4" xfId="0" applyFont="1" applyFill="1" applyBorder="1" applyAlignment="1">
      <alignment horizontal="right" vertical="center" wrapText="1"/>
    </xf>
    <xf numFmtId="0" fontId="9" fillId="5" borderId="0" xfId="0" applyFont="1" applyFill="1" applyAlignment="1">
      <alignment horizontal="right" vertical="center" wrapText="1"/>
    </xf>
    <xf numFmtId="14" fontId="0" fillId="0" borderId="0" xfId="0" applyNumberFormat="1"/>
    <xf numFmtId="0" fontId="8" fillId="11" borderId="0" xfId="0" applyFont="1" applyFill="1" applyAlignment="1">
      <alignment vertical="center"/>
    </xf>
    <xf numFmtId="165" fontId="4" fillId="11" borderId="30" xfId="0" applyNumberFormat="1" applyFont="1" applyFill="1" applyBorder="1" applyAlignment="1">
      <alignment horizontal="center" vertical="center"/>
    </xf>
    <xf numFmtId="4" fontId="0" fillId="7" borderId="21" xfId="0" applyNumberFormat="1" applyFill="1" applyBorder="1" applyAlignment="1">
      <alignment vertical="center"/>
    </xf>
    <xf numFmtId="0" fontId="11" fillId="10" borderId="27" xfId="0" applyFont="1" applyFill="1" applyBorder="1" applyAlignment="1">
      <alignment horizontal="left" vertical="center" wrapText="1"/>
    </xf>
    <xf numFmtId="0" fontId="11" fillId="10" borderId="28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11" fillId="5" borderId="16" xfId="0" applyFont="1" applyFill="1" applyBorder="1" applyAlignment="1">
      <alignment horizontal="left" vertical="center" wrapText="1"/>
    </xf>
    <xf numFmtId="0" fontId="11" fillId="5" borderId="17" xfId="0" applyFont="1" applyFill="1" applyBorder="1" applyAlignment="1">
      <alignment horizontal="left" vertical="center" wrapText="1"/>
    </xf>
    <xf numFmtId="0" fontId="11" fillId="5" borderId="18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right" vertical="center"/>
    </xf>
    <xf numFmtId="0" fontId="1" fillId="5" borderId="19" xfId="0" applyFont="1" applyFill="1" applyBorder="1" applyAlignment="1">
      <alignment horizontal="right" vertical="center"/>
    </xf>
    <xf numFmtId="0" fontId="9" fillId="5" borderId="4" xfId="0" applyFont="1" applyFill="1" applyBorder="1" applyAlignment="1">
      <alignment horizontal="right" vertical="center" wrapText="1"/>
    </xf>
    <xf numFmtId="0" fontId="9" fillId="5" borderId="0" xfId="0" applyFont="1" applyFill="1" applyAlignment="1">
      <alignment horizontal="right" vertical="center" wrapText="1"/>
    </xf>
    <xf numFmtId="0" fontId="9" fillId="5" borderId="5" xfId="0" applyFont="1" applyFill="1" applyBorder="1" applyAlignment="1">
      <alignment horizontal="right" vertical="center"/>
    </xf>
    <xf numFmtId="0" fontId="9" fillId="5" borderId="7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0</xdr:col>
      <xdr:colOff>2162175</xdr:colOff>
      <xdr:row>1</xdr:row>
      <xdr:rowOff>904875</xdr:rowOff>
    </xdr:to>
    <xdr:pic>
      <xdr:nvPicPr>
        <xdr:cNvPr id="2" name="Image 1" descr="divfin50">
          <a:extLst>
            <a:ext uri="{FF2B5EF4-FFF2-40B4-BE49-F238E27FC236}">
              <a16:creationId xmlns:a16="http://schemas.microsoft.com/office/drawing/2014/main" id="{32712CAC-BCF1-4BDF-B1F2-219F656B643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0"/>
          <a:ext cx="211455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CB22E-B0B8-444A-A226-924A68E5E2A9}">
  <dimension ref="A1:M97"/>
  <sheetViews>
    <sheetView tabSelected="1" workbookViewId="0">
      <selection activeCell="H92" sqref="H92"/>
    </sheetView>
  </sheetViews>
  <sheetFormatPr baseColWidth="10" defaultRowHeight="15" x14ac:dyDescent="0.25"/>
  <cols>
    <col min="1" max="1" width="38.140625" customWidth="1"/>
    <col min="2" max="2" width="17.85546875" customWidth="1"/>
    <col min="3" max="3" width="20.42578125" customWidth="1"/>
    <col min="4" max="6" width="0" hidden="1" customWidth="1"/>
    <col min="7" max="8" width="19.140625" customWidth="1"/>
    <col min="9" max="9" width="39.42578125" customWidth="1"/>
    <col min="11" max="11" width="17" bestFit="1" customWidth="1"/>
  </cols>
  <sheetData>
    <row r="1" spans="1:11" x14ac:dyDescent="0.25">
      <c r="A1" s="1"/>
      <c r="B1" s="165" t="s">
        <v>87</v>
      </c>
      <c r="C1" s="165"/>
      <c r="D1" s="165"/>
      <c r="E1" s="165"/>
      <c r="F1" s="165"/>
      <c r="G1" s="165"/>
      <c r="H1" s="165"/>
      <c r="I1" s="165"/>
      <c r="J1" s="1"/>
      <c r="K1" s="1"/>
    </row>
    <row r="2" spans="1:11" ht="91.5" customHeight="1" x14ac:dyDescent="0.25">
      <c r="A2" s="2" t="s">
        <v>0</v>
      </c>
      <c r="B2" s="165"/>
      <c r="C2" s="165"/>
      <c r="D2" s="165"/>
      <c r="E2" s="165"/>
      <c r="F2" s="165"/>
      <c r="G2" s="165"/>
      <c r="H2" s="165"/>
      <c r="I2" s="165"/>
      <c r="J2" s="1"/>
      <c r="K2" s="1"/>
    </row>
    <row r="3" spans="1:11" ht="15.75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4" customHeight="1" thickBot="1" x14ac:dyDescent="0.3">
      <c r="A4" s="4" t="s">
        <v>1</v>
      </c>
      <c r="B4" s="5"/>
      <c r="C4" s="3"/>
      <c r="D4" s="3"/>
      <c r="E4" s="3"/>
      <c r="F4" s="3"/>
      <c r="G4" s="3"/>
      <c r="H4" s="3"/>
      <c r="I4" s="3"/>
      <c r="J4" s="1"/>
      <c r="K4" s="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8.75" x14ac:dyDescent="0.25">
      <c r="A6" s="6" t="s">
        <v>2</v>
      </c>
      <c r="B6" s="7"/>
      <c r="C6" s="7"/>
      <c r="D6" s="7"/>
      <c r="E6" s="7"/>
      <c r="F6" s="7"/>
      <c r="G6" s="7"/>
      <c r="H6" s="7"/>
      <c r="I6" s="8"/>
      <c r="J6" s="1"/>
      <c r="K6" s="1"/>
    </row>
    <row r="7" spans="1:11" ht="19.5" thickBot="1" x14ac:dyDescent="0.3">
      <c r="A7" s="9"/>
      <c r="B7" s="10"/>
      <c r="C7" s="160"/>
      <c r="D7" s="10"/>
      <c r="E7" s="10"/>
      <c r="F7" s="10"/>
      <c r="G7" s="10"/>
      <c r="H7" s="10"/>
      <c r="I7" s="11"/>
      <c r="J7" s="1"/>
      <c r="K7" s="1"/>
    </row>
    <row r="8" spans="1:11" ht="16.5" thickBot="1" x14ac:dyDescent="0.3">
      <c r="A8" s="12" t="s">
        <v>80</v>
      </c>
      <c r="B8" s="13"/>
      <c r="C8" s="14" t="s">
        <v>3</v>
      </c>
      <c r="D8" s="15"/>
      <c r="E8" s="15"/>
      <c r="F8" s="15"/>
      <c r="G8" s="10"/>
      <c r="H8" s="16"/>
      <c r="I8" s="17"/>
      <c r="J8" s="1"/>
      <c r="K8" s="1"/>
    </row>
    <row r="9" spans="1:11" ht="16.5" thickBot="1" x14ac:dyDescent="0.3">
      <c r="A9" s="18" t="s">
        <v>81</v>
      </c>
      <c r="B9" s="19"/>
      <c r="C9" s="20" t="s">
        <v>4</v>
      </c>
      <c r="D9" s="21"/>
      <c r="E9" s="21"/>
      <c r="F9" s="21"/>
      <c r="G9" s="10"/>
      <c r="H9" s="19"/>
      <c r="I9" s="22"/>
      <c r="J9" s="1"/>
      <c r="K9" s="1"/>
    </row>
    <row r="10" spans="1:11" ht="16.5" thickBot="1" x14ac:dyDescent="0.3">
      <c r="A10" s="12" t="s">
        <v>5</v>
      </c>
      <c r="B10" s="23">
        <v>1</v>
      </c>
      <c r="C10" s="24"/>
      <c r="D10" s="1"/>
      <c r="E10" s="1"/>
      <c r="F10" s="1"/>
      <c r="G10" s="10"/>
      <c r="H10" s="25"/>
      <c r="I10" s="22"/>
      <c r="J10" s="1"/>
      <c r="K10" s="1"/>
    </row>
    <row r="11" spans="1:11" ht="16.5" thickBot="1" x14ac:dyDescent="0.3">
      <c r="A11" s="26" t="s">
        <v>6</v>
      </c>
      <c r="B11" s="27">
        <v>45814</v>
      </c>
      <c r="C11" s="20" t="s">
        <v>7</v>
      </c>
      <c r="D11" s="15"/>
      <c r="E11" s="21"/>
      <c r="F11" s="21"/>
      <c r="G11" s="10"/>
      <c r="H11" s="161">
        <f>B11+139</f>
        <v>45953</v>
      </c>
      <c r="I11" s="22"/>
      <c r="J11" s="1"/>
      <c r="K11" s="1"/>
    </row>
    <row r="12" spans="1:11" ht="16.5" thickBot="1" x14ac:dyDescent="0.3">
      <c r="A12" s="26" t="s">
        <v>8</v>
      </c>
      <c r="B12" s="28">
        <v>65000</v>
      </c>
      <c r="C12" s="29"/>
      <c r="D12" s="30"/>
      <c r="E12" s="30"/>
      <c r="F12" s="30"/>
      <c r="G12" s="10"/>
      <c r="H12" s="29"/>
      <c r="I12" s="22"/>
      <c r="J12" s="1"/>
      <c r="K12" s="1"/>
    </row>
    <row r="13" spans="1:11" ht="15.75" x14ac:dyDescent="0.25">
      <c r="A13" s="12"/>
      <c r="B13" s="31"/>
      <c r="C13" s="31"/>
      <c r="D13" s="31"/>
      <c r="E13" s="31"/>
      <c r="F13" s="31"/>
      <c r="G13" s="10"/>
      <c r="H13" s="31"/>
      <c r="I13" s="32"/>
      <c r="J13" s="1"/>
      <c r="K13" s="1"/>
    </row>
    <row r="14" spans="1:11" x14ac:dyDescent="0.25">
      <c r="A14" s="33" t="s">
        <v>9</v>
      </c>
      <c r="B14" s="31"/>
      <c r="C14" s="31"/>
      <c r="D14" s="31"/>
      <c r="E14" s="31"/>
      <c r="F14" s="31"/>
      <c r="G14" s="31"/>
      <c r="H14" s="31"/>
      <c r="I14" s="34"/>
      <c r="J14" s="1"/>
      <c r="K14" s="1"/>
    </row>
    <row r="15" spans="1:11" x14ac:dyDescent="0.25">
      <c r="A15" s="12" t="s">
        <v>10</v>
      </c>
      <c r="B15" s="35">
        <f>B10</f>
        <v>1</v>
      </c>
      <c r="C15" s="36">
        <f>B12*B15</f>
        <v>65000</v>
      </c>
      <c r="D15" s="36"/>
      <c r="E15" s="36"/>
      <c r="F15" s="36"/>
      <c r="G15" s="37"/>
      <c r="H15" s="37"/>
      <c r="I15" s="34"/>
      <c r="J15" s="1"/>
      <c r="K15" s="1"/>
    </row>
    <row r="16" spans="1:11" x14ac:dyDescent="0.25">
      <c r="A16" s="12" t="s">
        <v>11</v>
      </c>
      <c r="B16" s="31"/>
      <c r="C16" s="36">
        <f>C15/12</f>
        <v>5416.666666666667</v>
      </c>
      <c r="D16" s="36"/>
      <c r="E16" s="36"/>
      <c r="F16" s="36"/>
      <c r="G16" s="37"/>
      <c r="H16" s="37"/>
      <c r="I16" s="34"/>
      <c r="J16" s="1"/>
      <c r="K16" s="1"/>
    </row>
    <row r="17" spans="1:11" x14ac:dyDescent="0.25">
      <c r="A17" s="12" t="s">
        <v>88</v>
      </c>
      <c r="B17" s="31"/>
      <c r="C17" s="38">
        <f>IF(C16&gt;8250,275,C16/30)</f>
        <v>180.55555555555557</v>
      </c>
      <c r="D17" s="38"/>
      <c r="E17" s="38"/>
      <c r="F17" s="38"/>
      <c r="G17" s="37" t="s">
        <v>12</v>
      </c>
      <c r="H17" s="37"/>
      <c r="I17" s="22"/>
      <c r="J17" s="1"/>
      <c r="K17" s="39"/>
    </row>
    <row r="18" spans="1:11" x14ac:dyDescent="0.25">
      <c r="A18" s="12" t="s">
        <v>13</v>
      </c>
      <c r="B18" s="31"/>
      <c r="C18" s="38">
        <f>IF((C16/30)&gt;412.6,412.6,IF((C16/30)&lt;77.5,77.5,C16/30))</f>
        <v>180.55555555555557</v>
      </c>
      <c r="D18" s="38"/>
      <c r="E18" s="38"/>
      <c r="F18" s="38"/>
      <c r="G18" s="37" t="s">
        <v>12</v>
      </c>
      <c r="H18" s="37"/>
      <c r="I18" s="22"/>
      <c r="J18" s="1"/>
      <c r="K18" s="39"/>
    </row>
    <row r="19" spans="1:11" x14ac:dyDescent="0.25">
      <c r="A19" s="40" t="s">
        <v>14</v>
      </c>
      <c r="B19" s="41"/>
      <c r="C19" s="42">
        <f>SUM(C15/365)</f>
        <v>178.08219178082192</v>
      </c>
      <c r="D19" s="42"/>
      <c r="E19" s="42"/>
      <c r="F19" s="42"/>
      <c r="G19" s="43" t="s">
        <v>15</v>
      </c>
      <c r="H19" s="43"/>
      <c r="I19" s="44"/>
      <c r="J19" s="1"/>
      <c r="K19" s="1"/>
    </row>
    <row r="20" spans="1:11" x14ac:dyDescent="0.25">
      <c r="A20" s="1"/>
      <c r="B20" s="39"/>
      <c r="C20" s="39"/>
      <c r="D20" s="39"/>
      <c r="E20" s="39"/>
      <c r="F20" s="39"/>
      <c r="G20" s="1"/>
      <c r="H20" s="1"/>
      <c r="I20" s="1"/>
      <c r="J20" s="1"/>
      <c r="K20" s="1"/>
    </row>
    <row r="21" spans="1:11" x14ac:dyDescent="0.25">
      <c r="A21" s="45" t="s">
        <v>16</v>
      </c>
      <c r="B21" s="46" t="s">
        <v>91</v>
      </c>
      <c r="C21" s="47"/>
      <c r="D21" s="47"/>
      <c r="E21" s="47"/>
      <c r="F21" s="47"/>
      <c r="G21" s="48"/>
      <c r="H21" s="48"/>
      <c r="I21" s="49"/>
      <c r="J21" s="1"/>
      <c r="K21" s="1"/>
    </row>
    <row r="22" spans="1:11" x14ac:dyDescent="0.25">
      <c r="A22" s="50"/>
      <c r="B22" s="51" t="s">
        <v>17</v>
      </c>
      <c r="C22" s="52"/>
      <c r="D22" s="52"/>
      <c r="E22" s="52"/>
      <c r="F22" s="52"/>
      <c r="G22" s="53"/>
      <c r="H22" s="53"/>
      <c r="I22" s="54"/>
      <c r="J22" s="1"/>
      <c r="K22" s="1"/>
    </row>
    <row r="23" spans="1:11" x14ac:dyDescent="0.25">
      <c r="A23" s="50"/>
      <c r="B23" s="55"/>
      <c r="C23" s="52"/>
      <c r="D23" s="52"/>
      <c r="E23" s="52"/>
      <c r="F23" s="52"/>
      <c r="G23" s="53"/>
      <c r="H23" s="53"/>
      <c r="I23" s="54"/>
      <c r="J23" s="1"/>
      <c r="K23" s="1"/>
    </row>
    <row r="24" spans="1:11" x14ac:dyDescent="0.25">
      <c r="A24" s="50" t="s">
        <v>18</v>
      </c>
      <c r="B24" s="55"/>
      <c r="C24" s="52"/>
      <c r="D24" s="52"/>
      <c r="E24" s="52"/>
      <c r="F24" s="52"/>
      <c r="G24" s="53"/>
      <c r="H24" s="53"/>
      <c r="I24" s="54"/>
      <c r="J24" s="1"/>
      <c r="K24" s="1"/>
    </row>
    <row r="25" spans="1:11" x14ac:dyDescent="0.25">
      <c r="A25" s="56" t="s">
        <v>19</v>
      </c>
      <c r="B25" s="52"/>
      <c r="C25" s="52">
        <f>C17</f>
        <v>180.55555555555557</v>
      </c>
      <c r="D25" s="52"/>
      <c r="E25" s="52"/>
      <c r="F25" s="52"/>
      <c r="G25" s="57" t="s">
        <v>92</v>
      </c>
      <c r="H25" s="57"/>
      <c r="I25" s="54"/>
      <c r="J25" s="1"/>
      <c r="K25" s="1"/>
    </row>
    <row r="26" spans="1:11" x14ac:dyDescent="0.25">
      <c r="A26" s="58" t="s">
        <v>20</v>
      </c>
      <c r="B26" s="52"/>
      <c r="C26" s="59">
        <f>ROUNDUP(C25,0)</f>
        <v>181</v>
      </c>
      <c r="D26" s="59"/>
      <c r="E26" s="59"/>
      <c r="F26" s="59"/>
      <c r="G26" s="57" t="s">
        <v>21</v>
      </c>
      <c r="H26" s="57"/>
      <c r="I26" s="54"/>
      <c r="J26" s="1"/>
      <c r="K26" s="1"/>
    </row>
    <row r="27" spans="1:11" x14ac:dyDescent="0.25">
      <c r="A27" s="58" t="s">
        <v>22</v>
      </c>
      <c r="B27" s="52"/>
      <c r="C27" s="60">
        <f>C26*80%</f>
        <v>144.80000000000001</v>
      </c>
      <c r="D27" s="52"/>
      <c r="E27" s="52"/>
      <c r="F27" s="52"/>
      <c r="G27" s="57" t="s">
        <v>89</v>
      </c>
      <c r="H27" s="57"/>
      <c r="I27" s="54"/>
      <c r="J27" s="1"/>
      <c r="K27" s="1"/>
    </row>
    <row r="28" spans="1:11" x14ac:dyDescent="0.25">
      <c r="A28" s="58" t="s">
        <v>23</v>
      </c>
      <c r="B28" s="52"/>
      <c r="C28" s="61">
        <f>SUM(C27*98)</f>
        <v>14190.400000000001</v>
      </c>
      <c r="D28" s="62"/>
      <c r="E28" s="62"/>
      <c r="F28" s="62"/>
      <c r="G28" s="57" t="s">
        <v>18</v>
      </c>
      <c r="H28" s="57"/>
      <c r="I28" s="54"/>
      <c r="J28" s="1"/>
      <c r="K28" s="1"/>
    </row>
    <row r="29" spans="1:11" x14ac:dyDescent="0.25">
      <c r="A29" s="58"/>
      <c r="B29" s="52"/>
      <c r="C29" s="62"/>
      <c r="D29" s="62"/>
      <c r="E29" s="62"/>
      <c r="F29" s="62"/>
      <c r="G29" s="57"/>
      <c r="H29" s="57"/>
      <c r="I29" s="54"/>
      <c r="J29" s="1"/>
      <c r="K29" s="1"/>
    </row>
    <row r="30" spans="1:11" x14ac:dyDescent="0.25">
      <c r="A30" s="50" t="s">
        <v>24</v>
      </c>
      <c r="B30" s="52"/>
      <c r="C30" s="62"/>
      <c r="D30" s="62"/>
      <c r="E30" s="62"/>
      <c r="F30" s="62"/>
      <c r="G30" s="57"/>
      <c r="H30" s="57"/>
      <c r="I30" s="54"/>
      <c r="J30" s="1"/>
      <c r="K30" s="1"/>
    </row>
    <row r="31" spans="1:11" x14ac:dyDescent="0.25">
      <c r="A31" s="56" t="s">
        <v>19</v>
      </c>
      <c r="B31" s="52"/>
      <c r="C31" s="62">
        <f>C18</f>
        <v>180.55555555555557</v>
      </c>
      <c r="D31" s="62"/>
      <c r="E31" s="62"/>
      <c r="F31" s="62"/>
      <c r="G31" s="57" t="s">
        <v>90</v>
      </c>
      <c r="H31" s="57"/>
      <c r="I31" s="54"/>
      <c r="J31" s="1"/>
      <c r="K31" s="1"/>
    </row>
    <row r="32" spans="1:11" x14ac:dyDescent="0.25">
      <c r="A32" s="58" t="s">
        <v>20</v>
      </c>
      <c r="B32" s="52"/>
      <c r="C32" s="59">
        <f>ROUNDUP(C31,0)</f>
        <v>181</v>
      </c>
      <c r="D32" s="62"/>
      <c r="E32" s="62"/>
      <c r="F32" s="62"/>
      <c r="G32" s="57" t="s">
        <v>21</v>
      </c>
      <c r="H32" s="57"/>
      <c r="I32" s="54"/>
      <c r="J32" s="1"/>
      <c r="K32" s="1"/>
    </row>
    <row r="33" spans="1:11" x14ac:dyDescent="0.25">
      <c r="A33" s="58" t="s">
        <v>25</v>
      </c>
      <c r="B33" s="52"/>
      <c r="C33" s="63">
        <f>C32*80%</f>
        <v>144.80000000000001</v>
      </c>
      <c r="D33" s="52"/>
      <c r="E33" s="52"/>
      <c r="F33" s="52"/>
      <c r="G33" s="57" t="s">
        <v>85</v>
      </c>
      <c r="H33" s="57"/>
      <c r="I33" s="54"/>
      <c r="J33" s="1"/>
      <c r="K33" s="1"/>
    </row>
    <row r="34" spans="1:11" x14ac:dyDescent="0.25">
      <c r="A34" s="58" t="s">
        <v>26</v>
      </c>
      <c r="B34" s="52"/>
      <c r="C34" s="62">
        <f>SUM(C33*14)</f>
        <v>2027.2000000000003</v>
      </c>
      <c r="D34" s="62"/>
      <c r="E34" s="62"/>
      <c r="F34" s="62"/>
      <c r="G34" s="57" t="s">
        <v>27</v>
      </c>
      <c r="H34" s="57"/>
      <c r="I34" s="54"/>
      <c r="J34" s="1"/>
      <c r="K34" s="1"/>
    </row>
    <row r="35" spans="1:11" x14ac:dyDescent="0.25">
      <c r="A35" s="58"/>
      <c r="B35" s="52"/>
      <c r="C35" s="62"/>
      <c r="D35" s="62"/>
      <c r="E35" s="62"/>
      <c r="F35" s="62"/>
      <c r="G35" s="57"/>
      <c r="H35" s="57"/>
      <c r="I35" s="54"/>
      <c r="J35" s="1"/>
      <c r="K35" s="1"/>
    </row>
    <row r="36" spans="1:11" x14ac:dyDescent="0.25">
      <c r="A36" s="58" t="s">
        <v>28</v>
      </c>
      <c r="B36" s="52"/>
      <c r="C36" s="62">
        <f>C33</f>
        <v>144.80000000000001</v>
      </c>
      <c r="D36" s="62"/>
      <c r="E36" s="62"/>
      <c r="F36" s="62"/>
      <c r="G36" s="57" t="s">
        <v>29</v>
      </c>
      <c r="H36" s="57"/>
      <c r="I36" s="54"/>
      <c r="J36" s="1"/>
      <c r="K36" s="1"/>
    </row>
    <row r="37" spans="1:11" x14ac:dyDescent="0.25">
      <c r="A37" s="64" t="s">
        <v>30</v>
      </c>
      <c r="B37" s="52"/>
      <c r="C37" s="65">
        <f>C27</f>
        <v>144.80000000000001</v>
      </c>
      <c r="D37" s="62"/>
      <c r="E37" s="62"/>
      <c r="F37" s="62"/>
      <c r="G37" s="57" t="s">
        <v>31</v>
      </c>
      <c r="H37" s="57"/>
      <c r="I37" s="54"/>
      <c r="J37" s="1"/>
      <c r="K37" s="1"/>
    </row>
    <row r="38" spans="1:11" x14ac:dyDescent="0.25">
      <c r="A38" s="58" t="s">
        <v>32</v>
      </c>
      <c r="B38" s="52"/>
      <c r="C38" s="62">
        <f>(C36-C37)*98</f>
        <v>0</v>
      </c>
      <c r="D38" s="62"/>
      <c r="E38" s="62"/>
      <c r="F38" s="62"/>
      <c r="G38" s="57" t="s">
        <v>33</v>
      </c>
      <c r="H38" s="57"/>
      <c r="I38" s="54"/>
      <c r="J38" s="1"/>
      <c r="K38" s="1"/>
    </row>
    <row r="39" spans="1:11" x14ac:dyDescent="0.25">
      <c r="A39" s="58"/>
      <c r="B39" s="53"/>
      <c r="C39" s="53"/>
      <c r="D39" s="53"/>
      <c r="E39" s="53"/>
      <c r="F39" s="53"/>
      <c r="G39" s="53"/>
      <c r="H39" s="53"/>
      <c r="I39" s="54"/>
      <c r="J39" s="1"/>
      <c r="K39" s="1"/>
    </row>
    <row r="40" spans="1:11" ht="15.75" thickBot="1" x14ac:dyDescent="0.3">
      <c r="A40" s="64" t="s">
        <v>34</v>
      </c>
      <c r="B40" s="53"/>
      <c r="C40" s="162">
        <f>C28*6.4%</f>
        <v>908.18560000000014</v>
      </c>
      <c r="D40" s="52"/>
      <c r="E40" s="52"/>
      <c r="F40" s="52"/>
      <c r="G40" s="66" t="s">
        <v>35</v>
      </c>
      <c r="H40" s="66"/>
      <c r="I40" s="54"/>
      <c r="J40" s="1"/>
      <c r="K40" s="1"/>
    </row>
    <row r="41" spans="1:11" ht="15.75" thickTop="1" x14ac:dyDescent="0.25">
      <c r="A41" s="67" t="s">
        <v>36</v>
      </c>
      <c r="B41" s="68" t="s">
        <v>36</v>
      </c>
      <c r="C41" s="69">
        <f>C28+C34+C40+C38</f>
        <v>17125.785600000003</v>
      </c>
      <c r="D41" s="70"/>
      <c r="E41" s="70"/>
      <c r="F41" s="70"/>
      <c r="G41" s="71" t="s">
        <v>37</v>
      </c>
      <c r="H41" s="71"/>
      <c r="I41" s="72"/>
      <c r="J41" s="1"/>
      <c r="K41" s="1"/>
    </row>
    <row r="42" spans="1:11" x14ac:dyDescent="0.25">
      <c r="A42" s="1"/>
      <c r="B42" s="39"/>
      <c r="C42" s="39"/>
      <c r="D42" s="39"/>
      <c r="E42" s="39"/>
      <c r="F42" s="39"/>
      <c r="G42" s="1"/>
      <c r="H42" s="1"/>
      <c r="I42" s="1"/>
      <c r="J42" s="1"/>
      <c r="K42" s="1"/>
    </row>
    <row r="43" spans="1:11" x14ac:dyDescent="0.25">
      <c r="A43" s="73" t="s">
        <v>38</v>
      </c>
      <c r="B43" s="74"/>
      <c r="C43" s="74"/>
      <c r="D43" s="74"/>
      <c r="E43" s="74"/>
      <c r="F43" s="74"/>
      <c r="G43" s="74"/>
      <c r="H43" s="74"/>
      <c r="I43" s="75"/>
      <c r="J43" s="1"/>
      <c r="K43" s="1"/>
    </row>
    <row r="44" spans="1:11" x14ac:dyDescent="0.25">
      <c r="A44" s="76"/>
      <c r="B44" s="77"/>
      <c r="C44" s="77"/>
      <c r="D44" s="77"/>
      <c r="E44" s="77"/>
      <c r="F44" s="77"/>
      <c r="G44" s="78"/>
      <c r="H44" s="78"/>
      <c r="I44" s="79"/>
      <c r="J44" s="1"/>
      <c r="K44" s="1"/>
    </row>
    <row r="45" spans="1:11" x14ac:dyDescent="0.25">
      <c r="A45" s="80" t="s">
        <v>82</v>
      </c>
      <c r="B45" s="77"/>
      <c r="C45" s="77">
        <f>C19*10%</f>
        <v>17.808219178082194</v>
      </c>
      <c r="D45" s="77"/>
      <c r="E45" s="77"/>
      <c r="F45" s="77"/>
      <c r="G45" s="81" t="s">
        <v>39</v>
      </c>
      <c r="H45" s="81"/>
      <c r="I45" s="79"/>
      <c r="J45" s="1"/>
      <c r="K45" s="1"/>
    </row>
    <row r="46" spans="1:11" x14ac:dyDescent="0.25">
      <c r="A46" s="80" t="s">
        <v>40</v>
      </c>
      <c r="B46" s="82"/>
      <c r="C46" s="83">
        <f>ROUND(C45,1)</f>
        <v>17.8</v>
      </c>
      <c r="D46" s="84"/>
      <c r="E46" s="84"/>
      <c r="F46" s="84"/>
      <c r="G46" s="81" t="s">
        <v>41</v>
      </c>
      <c r="H46" s="81"/>
      <c r="I46" s="79"/>
      <c r="J46" s="1"/>
      <c r="K46" s="1"/>
    </row>
    <row r="47" spans="1:11" x14ac:dyDescent="0.25">
      <c r="A47" s="80"/>
      <c r="B47" s="82"/>
      <c r="C47" s="85">
        <f>SUM(C46*112)</f>
        <v>1993.6000000000001</v>
      </c>
      <c r="D47" s="85"/>
      <c r="E47" s="85"/>
      <c r="F47" s="85"/>
      <c r="G47" s="86" t="s">
        <v>42</v>
      </c>
      <c r="H47" s="86"/>
      <c r="I47" s="79"/>
      <c r="J47" s="1"/>
      <c r="K47" s="1"/>
    </row>
    <row r="48" spans="1:11" ht="17.25" x14ac:dyDescent="0.25">
      <c r="A48" s="80"/>
      <c r="B48" s="82"/>
      <c r="C48" s="78"/>
      <c r="D48" s="78"/>
      <c r="E48" s="78"/>
      <c r="F48" s="78"/>
      <c r="G48" s="81" t="s">
        <v>43</v>
      </c>
      <c r="H48" s="81"/>
      <c r="I48" s="79"/>
      <c r="J48" s="1"/>
      <c r="K48" s="1"/>
    </row>
    <row r="49" spans="1:11" x14ac:dyDescent="0.25">
      <c r="A49" s="80"/>
      <c r="B49" s="82"/>
      <c r="C49" s="78"/>
      <c r="D49" s="78"/>
      <c r="E49" s="78"/>
      <c r="F49" s="78"/>
      <c r="G49" s="78"/>
      <c r="H49" s="78"/>
      <c r="I49" s="79"/>
      <c r="J49" s="1"/>
      <c r="K49" s="1"/>
    </row>
    <row r="50" spans="1:11" ht="17.25" x14ac:dyDescent="0.25">
      <c r="A50" s="80" t="s">
        <v>44</v>
      </c>
      <c r="B50" s="82"/>
      <c r="C50" s="77">
        <f>C19*90%</f>
        <v>160.27397260273972</v>
      </c>
      <c r="D50" s="77"/>
      <c r="E50" s="77"/>
      <c r="F50" s="77"/>
      <c r="G50" s="81" t="s">
        <v>86</v>
      </c>
      <c r="H50" s="81"/>
      <c r="I50" s="79"/>
      <c r="J50" s="1"/>
      <c r="K50" s="1"/>
    </row>
    <row r="51" spans="1:11" x14ac:dyDescent="0.25">
      <c r="A51" s="80" t="s">
        <v>40</v>
      </c>
      <c r="B51" s="82"/>
      <c r="C51" s="83">
        <f>ROUND(C50,1)</f>
        <v>160.30000000000001</v>
      </c>
      <c r="D51" s="84"/>
      <c r="E51" s="84"/>
      <c r="F51" s="84"/>
      <c r="G51" s="81" t="s">
        <v>41</v>
      </c>
      <c r="H51" s="81"/>
      <c r="I51" s="79"/>
      <c r="J51" s="1"/>
      <c r="K51" s="1"/>
    </row>
    <row r="52" spans="1:11" x14ac:dyDescent="0.25">
      <c r="A52" s="80"/>
      <c r="B52" s="82"/>
      <c r="C52" s="85">
        <f>SUM(C51*28)</f>
        <v>4488.4000000000005</v>
      </c>
      <c r="D52" s="85"/>
      <c r="E52" s="85"/>
      <c r="F52" s="85"/>
      <c r="G52" s="86" t="s">
        <v>42</v>
      </c>
      <c r="H52" s="86"/>
      <c r="I52" s="79"/>
      <c r="J52" s="1"/>
      <c r="K52" s="1"/>
    </row>
    <row r="53" spans="1:11" ht="17.25" x14ac:dyDescent="0.25">
      <c r="A53" s="80"/>
      <c r="B53" s="82"/>
      <c r="C53" s="85"/>
      <c r="D53" s="85"/>
      <c r="E53" s="85"/>
      <c r="F53" s="85"/>
      <c r="G53" s="81" t="s">
        <v>45</v>
      </c>
      <c r="H53" s="81"/>
      <c r="I53" s="79"/>
      <c r="J53" s="1"/>
      <c r="K53" s="1"/>
    </row>
    <row r="54" spans="1:11" x14ac:dyDescent="0.25">
      <c r="A54" s="80"/>
      <c r="B54" s="82"/>
      <c r="C54" s="85"/>
      <c r="D54" s="85"/>
      <c r="E54" s="85"/>
      <c r="F54" s="85"/>
      <c r="G54" s="81"/>
      <c r="H54" s="81"/>
      <c r="I54" s="79"/>
      <c r="J54" s="1"/>
      <c r="K54" s="1"/>
    </row>
    <row r="55" spans="1:11" x14ac:dyDescent="0.25">
      <c r="A55" s="80" t="s">
        <v>46</v>
      </c>
      <c r="B55" s="82"/>
      <c r="C55" s="87">
        <f>IF(C28&gt;(C15/365*80%)*98,0,((C15/365*80%)*98)-C28)</f>
        <v>0</v>
      </c>
      <c r="D55" s="88"/>
      <c r="E55" s="88"/>
      <c r="F55" s="88"/>
      <c r="G55" s="81" t="s">
        <v>47</v>
      </c>
      <c r="H55" s="81"/>
      <c r="I55" s="79"/>
      <c r="J55" s="1"/>
      <c r="K55" s="1"/>
    </row>
    <row r="56" spans="1:11" ht="15.75" thickBot="1" x14ac:dyDescent="0.3">
      <c r="A56" s="80"/>
      <c r="B56" s="82"/>
      <c r="C56" s="89"/>
      <c r="D56" s="85"/>
      <c r="E56" s="85"/>
      <c r="F56" s="85"/>
      <c r="G56" s="78"/>
      <c r="H56" s="78"/>
      <c r="I56" s="79"/>
      <c r="J56" s="1"/>
      <c r="K56" s="1"/>
    </row>
    <row r="57" spans="1:11" ht="15.75" thickTop="1" x14ac:dyDescent="0.25">
      <c r="A57" s="80"/>
      <c r="B57" s="77"/>
      <c r="C57" s="90">
        <f>C47+C52+C55</f>
        <v>6482.0000000000009</v>
      </c>
      <c r="D57" s="85"/>
      <c r="E57" s="85"/>
      <c r="F57" s="85"/>
      <c r="G57" s="86" t="s">
        <v>48</v>
      </c>
      <c r="H57" s="86"/>
      <c r="I57" s="79"/>
      <c r="J57" s="1"/>
      <c r="K57" s="1"/>
    </row>
    <row r="58" spans="1:11" ht="17.25" x14ac:dyDescent="0.25">
      <c r="A58" s="91"/>
      <c r="B58" s="92"/>
      <c r="C58" s="92"/>
      <c r="D58" s="92"/>
      <c r="E58" s="92"/>
      <c r="F58" s="92"/>
      <c r="G58" s="93" t="s">
        <v>43</v>
      </c>
      <c r="H58" s="93"/>
      <c r="I58" s="94"/>
      <c r="J58" s="1"/>
      <c r="K58" s="1"/>
    </row>
    <row r="59" spans="1:11" x14ac:dyDescent="0.25">
      <c r="A59" s="1"/>
      <c r="B59" s="39"/>
      <c r="C59" s="39"/>
      <c r="D59" s="39"/>
      <c r="E59" s="39"/>
      <c r="F59" s="39"/>
      <c r="G59" s="1"/>
      <c r="H59" s="1"/>
      <c r="I59" s="1"/>
      <c r="J59" s="1"/>
      <c r="K59" s="1"/>
    </row>
    <row r="60" spans="1:11" ht="18.75" x14ac:dyDescent="0.25">
      <c r="A60" s="6" t="s">
        <v>49</v>
      </c>
      <c r="B60" s="95"/>
      <c r="C60" s="95"/>
      <c r="D60" s="95"/>
      <c r="E60" s="95"/>
      <c r="F60" s="95"/>
      <c r="G60" s="95"/>
      <c r="H60" s="95"/>
      <c r="I60" s="96"/>
      <c r="J60" s="1"/>
      <c r="K60" s="1"/>
    </row>
    <row r="61" spans="1:11" ht="19.5" thickBot="1" x14ac:dyDescent="0.3">
      <c r="A61" s="9"/>
      <c r="B61" s="10"/>
      <c r="C61" s="10"/>
      <c r="D61" s="10"/>
      <c r="E61" s="10"/>
      <c r="F61" s="10"/>
      <c r="G61" s="10"/>
      <c r="H61" s="10"/>
      <c r="I61" s="11"/>
      <c r="J61" s="1"/>
      <c r="K61" s="1"/>
    </row>
    <row r="62" spans="1:11" ht="16.5" thickBot="1" x14ac:dyDescent="0.3">
      <c r="A62" s="18" t="s">
        <v>83</v>
      </c>
      <c r="B62" s="97"/>
      <c r="C62" s="20" t="s">
        <v>3</v>
      </c>
      <c r="D62" s="155"/>
      <c r="E62" s="98"/>
      <c r="F62" s="98"/>
      <c r="G62" s="10"/>
      <c r="H62" s="97"/>
      <c r="I62" s="22"/>
      <c r="J62" s="1"/>
      <c r="K62" s="1"/>
    </row>
    <row r="63" spans="1:11" ht="16.5" thickBot="1" x14ac:dyDescent="0.3">
      <c r="A63" s="18" t="s">
        <v>81</v>
      </c>
      <c r="B63" s="97"/>
      <c r="C63" s="20" t="s">
        <v>4</v>
      </c>
      <c r="D63" s="155"/>
      <c r="E63" s="98"/>
      <c r="F63" s="98"/>
      <c r="G63" s="10"/>
      <c r="H63" s="97"/>
      <c r="I63" s="22"/>
      <c r="J63" s="1"/>
      <c r="K63" s="1"/>
    </row>
    <row r="64" spans="1:11" ht="15.75" thickBot="1" x14ac:dyDescent="0.3">
      <c r="A64" s="12" t="s">
        <v>50</v>
      </c>
      <c r="B64" s="27">
        <v>45844</v>
      </c>
      <c r="C64" s="14"/>
      <c r="D64" s="15"/>
      <c r="E64" s="15"/>
      <c r="F64" s="15"/>
      <c r="G64" s="99"/>
      <c r="H64" s="99"/>
      <c r="I64" s="22"/>
      <c r="J64" s="1"/>
      <c r="K64" s="1"/>
    </row>
    <row r="65" spans="1:11" ht="15.75" thickBot="1" x14ac:dyDescent="0.3">
      <c r="A65" s="18" t="s">
        <v>5</v>
      </c>
      <c r="B65" s="100">
        <v>1</v>
      </c>
      <c r="C65" s="31"/>
      <c r="D65" s="1"/>
      <c r="E65" s="1"/>
      <c r="F65" s="1"/>
      <c r="G65" s="101"/>
      <c r="H65" s="101"/>
      <c r="I65" s="22"/>
      <c r="J65" s="1"/>
      <c r="K65" s="1"/>
    </row>
    <row r="66" spans="1:11" ht="15.75" thickBot="1" x14ac:dyDescent="0.3">
      <c r="A66" s="18" t="s">
        <v>51</v>
      </c>
      <c r="B66" s="102">
        <v>65000</v>
      </c>
      <c r="C66" s="37"/>
      <c r="D66" s="103"/>
      <c r="E66" s="103"/>
      <c r="F66" s="103"/>
      <c r="G66" s="37"/>
      <c r="H66" s="37"/>
      <c r="I66" s="22"/>
      <c r="J66" s="1"/>
      <c r="K66" s="1"/>
    </row>
    <row r="67" spans="1:11" x14ac:dyDescent="0.25">
      <c r="A67" s="104" t="s">
        <v>52</v>
      </c>
      <c r="B67" s="105">
        <f>B66/12</f>
        <v>5416.666666666667</v>
      </c>
      <c r="C67" s="31"/>
      <c r="D67" s="1"/>
      <c r="E67" s="1"/>
      <c r="F67" s="1"/>
      <c r="G67" s="31"/>
      <c r="H67" s="31"/>
      <c r="I67" s="34"/>
      <c r="J67" s="1"/>
      <c r="K67" s="1"/>
    </row>
    <row r="68" spans="1:11" x14ac:dyDescent="0.25">
      <c r="A68" s="104"/>
      <c r="B68" s="31"/>
      <c r="C68" s="31"/>
      <c r="D68" s="31"/>
      <c r="E68" s="31"/>
      <c r="F68" s="31"/>
      <c r="G68" s="31"/>
      <c r="H68" s="31"/>
      <c r="I68" s="34"/>
      <c r="J68" s="1"/>
      <c r="K68" s="1"/>
    </row>
    <row r="69" spans="1:11" x14ac:dyDescent="0.25">
      <c r="A69" s="104" t="s">
        <v>53</v>
      </c>
      <c r="B69" s="35">
        <f>B65</f>
        <v>1</v>
      </c>
      <c r="C69" s="106">
        <f>B67*B69</f>
        <v>5416.666666666667</v>
      </c>
      <c r="D69" s="106"/>
      <c r="E69" s="106"/>
      <c r="F69" s="106"/>
      <c r="G69" s="29" t="s">
        <v>54</v>
      </c>
      <c r="H69" s="29"/>
      <c r="I69" s="34"/>
      <c r="J69" s="1"/>
      <c r="K69" s="1"/>
    </row>
    <row r="70" spans="1:11" x14ac:dyDescent="0.25">
      <c r="A70" s="104" t="s">
        <v>55</v>
      </c>
      <c r="B70" s="31"/>
      <c r="C70" s="38">
        <f>SUM(C69/30)</f>
        <v>180.55555555555557</v>
      </c>
      <c r="D70" s="38"/>
      <c r="E70" s="38"/>
      <c r="F70" s="38"/>
      <c r="G70" s="29" t="s">
        <v>56</v>
      </c>
      <c r="H70" s="29"/>
      <c r="I70" s="34"/>
      <c r="J70" s="1"/>
      <c r="K70" s="1"/>
    </row>
    <row r="71" spans="1:11" x14ac:dyDescent="0.25">
      <c r="A71" s="104" t="s">
        <v>57</v>
      </c>
      <c r="B71" s="31"/>
      <c r="C71" s="38">
        <f>SUM(C70*1.23)</f>
        <v>222.08333333333334</v>
      </c>
      <c r="D71" s="38"/>
      <c r="E71" s="38"/>
      <c r="F71" s="38"/>
      <c r="G71" s="29" t="s">
        <v>58</v>
      </c>
      <c r="H71" s="29"/>
      <c r="I71" s="34"/>
      <c r="J71" s="1"/>
      <c r="K71" s="1"/>
    </row>
    <row r="72" spans="1:11" x14ac:dyDescent="0.25">
      <c r="A72" s="107" t="s">
        <v>57</v>
      </c>
      <c r="B72" s="41"/>
      <c r="C72" s="108">
        <f>ROUNDUP(C71,0)</f>
        <v>223</v>
      </c>
      <c r="D72" s="108"/>
      <c r="E72" s="108"/>
      <c r="F72" s="108"/>
      <c r="G72" s="109" t="s">
        <v>59</v>
      </c>
      <c r="H72" s="109"/>
      <c r="I72" s="110"/>
      <c r="J72" s="1"/>
      <c r="K72" s="1"/>
    </row>
    <row r="73" spans="1:11" x14ac:dyDescent="0.25">
      <c r="A73" s="1"/>
      <c r="B73" s="39"/>
      <c r="C73" s="39"/>
      <c r="D73" s="39"/>
      <c r="E73" s="39"/>
      <c r="F73" s="39"/>
      <c r="G73" s="1"/>
      <c r="H73" s="1"/>
      <c r="I73" s="1"/>
      <c r="J73" s="1"/>
      <c r="K73" s="1"/>
    </row>
    <row r="74" spans="1:11" x14ac:dyDescent="0.25">
      <c r="A74" s="111" t="s">
        <v>60</v>
      </c>
      <c r="B74" s="47"/>
      <c r="C74" s="112">
        <f>C41</f>
        <v>17125.785600000003</v>
      </c>
      <c r="D74" s="113"/>
      <c r="E74" s="113"/>
      <c r="F74" s="113"/>
      <c r="G74" s="47"/>
      <c r="H74" s="47"/>
      <c r="I74" s="114"/>
      <c r="J74" s="1"/>
      <c r="K74" s="1"/>
    </row>
    <row r="75" spans="1:11" ht="15.75" thickBot="1" x14ac:dyDescent="0.3">
      <c r="A75" s="115" t="s">
        <v>61</v>
      </c>
      <c r="B75" s="77"/>
      <c r="C75" s="116">
        <f>C57</f>
        <v>6482.0000000000009</v>
      </c>
      <c r="D75" s="117"/>
      <c r="E75" s="117"/>
      <c r="F75" s="117"/>
      <c r="G75" s="77"/>
      <c r="H75" s="77"/>
      <c r="I75" s="118"/>
      <c r="J75" s="1"/>
      <c r="K75" s="1"/>
    </row>
    <row r="76" spans="1:11" ht="15.75" thickTop="1" x14ac:dyDescent="0.25">
      <c r="A76" s="119" t="s">
        <v>62</v>
      </c>
      <c r="B76" s="120"/>
      <c r="C76" s="121">
        <f>SUM(C74:C75)</f>
        <v>23607.785600000003</v>
      </c>
      <c r="D76" s="122"/>
      <c r="E76" s="122"/>
      <c r="F76" s="122"/>
      <c r="G76" s="123"/>
      <c r="H76" s="123"/>
      <c r="I76" s="124"/>
      <c r="J76" s="1"/>
      <c r="K76" s="1"/>
    </row>
    <row r="77" spans="1:11" x14ac:dyDescent="0.25">
      <c r="A77" s="125"/>
      <c r="B77" s="126"/>
      <c r="C77" s="127"/>
      <c r="D77" s="127"/>
      <c r="E77" s="127"/>
      <c r="F77" s="127"/>
      <c r="G77" s="128" t="s">
        <v>63</v>
      </c>
      <c r="H77" s="128"/>
      <c r="I77" s="129" t="s">
        <v>64</v>
      </c>
      <c r="J77" s="1"/>
      <c r="K77" s="156"/>
    </row>
    <row r="78" spans="1:11" x14ac:dyDescent="0.25">
      <c r="A78" s="130" t="s">
        <v>84</v>
      </c>
      <c r="B78" s="78"/>
      <c r="C78" s="78"/>
      <c r="D78" s="78"/>
      <c r="E78" s="78"/>
      <c r="F78" s="78"/>
      <c r="G78" s="131">
        <f>C76/C72</f>
        <v>105.86450941704037</v>
      </c>
      <c r="H78" s="131"/>
      <c r="I78" s="132">
        <f>SUM(G78/7)</f>
        <v>15.123501345291482</v>
      </c>
      <c r="J78" s="1"/>
      <c r="K78" s="1"/>
    </row>
    <row r="79" spans="1:11" x14ac:dyDescent="0.25">
      <c r="A79" s="166" t="s">
        <v>65</v>
      </c>
      <c r="B79" s="167"/>
      <c r="C79" s="167"/>
      <c r="D79" s="167"/>
      <c r="E79" s="167"/>
      <c r="F79" s="167"/>
      <c r="G79" s="167"/>
      <c r="H79" s="167"/>
      <c r="I79" s="168"/>
      <c r="J79" s="1"/>
      <c r="K79" s="1"/>
    </row>
    <row r="80" spans="1:11" x14ac:dyDescent="0.25">
      <c r="A80" s="1"/>
      <c r="B80" s="39"/>
      <c r="C80" s="39"/>
      <c r="D80" s="39"/>
      <c r="E80" s="39"/>
      <c r="F80" s="39"/>
      <c r="G80" s="1"/>
      <c r="H80" s="1"/>
      <c r="I80" s="1"/>
      <c r="J80" s="1"/>
      <c r="K80" s="1"/>
    </row>
    <row r="81" spans="1:13" x14ac:dyDescent="0.25">
      <c r="A81" s="133" t="s">
        <v>66</v>
      </c>
      <c r="B81" s="134" t="s">
        <v>67</v>
      </c>
      <c r="C81" s="134" t="s">
        <v>7</v>
      </c>
      <c r="D81" s="135"/>
      <c r="E81" s="135"/>
      <c r="F81" s="135"/>
      <c r="G81" s="136"/>
      <c r="H81" s="136"/>
      <c r="I81" s="137"/>
      <c r="J81" s="1"/>
      <c r="K81" s="1"/>
    </row>
    <row r="82" spans="1:13" x14ac:dyDescent="0.25">
      <c r="A82" s="138"/>
      <c r="B82" s="139">
        <f>B64</f>
        <v>45844</v>
      </c>
      <c r="C82" s="139">
        <f>SUM(B82+G78)</f>
        <v>45949.864509417042</v>
      </c>
      <c r="D82" s="140"/>
      <c r="E82" s="140"/>
      <c r="F82" s="140"/>
      <c r="G82" s="92"/>
      <c r="H82" s="92"/>
      <c r="I82" s="94"/>
      <c r="J82" s="1"/>
      <c r="K82" s="1"/>
    </row>
    <row r="83" spans="1:13" x14ac:dyDescent="0.25">
      <c r="A83" s="1"/>
      <c r="B83" s="39"/>
      <c r="C83" s="39"/>
      <c r="D83" s="39"/>
      <c r="E83" s="39"/>
      <c r="F83" s="39"/>
      <c r="G83" s="1"/>
      <c r="H83" s="1"/>
      <c r="I83" s="1"/>
      <c r="J83" s="1"/>
      <c r="K83" s="1"/>
    </row>
    <row r="84" spans="1:13" x14ac:dyDescent="0.25">
      <c r="A84" s="141" t="s">
        <v>68</v>
      </c>
      <c r="B84" s="169" t="s">
        <v>67</v>
      </c>
      <c r="C84" s="169" t="s">
        <v>7</v>
      </c>
      <c r="D84" s="142"/>
      <c r="E84" s="142"/>
      <c r="F84" s="142"/>
      <c r="G84" s="171" t="s">
        <v>69</v>
      </c>
      <c r="H84" s="157"/>
      <c r="I84" s="173" t="s">
        <v>70</v>
      </c>
      <c r="J84" s="1"/>
      <c r="K84" s="1"/>
      <c r="M84" s="159"/>
    </row>
    <row r="85" spans="1:13" x14ac:dyDescent="0.25">
      <c r="A85" s="143" t="s">
        <v>71</v>
      </c>
      <c r="B85" s="170"/>
      <c r="C85" s="170"/>
      <c r="D85" s="144" t="s">
        <v>72</v>
      </c>
      <c r="E85" s="144" t="s">
        <v>73</v>
      </c>
      <c r="F85" s="144" t="s">
        <v>74</v>
      </c>
      <c r="G85" s="172"/>
      <c r="H85" s="158"/>
      <c r="I85" s="174"/>
      <c r="J85" s="1"/>
      <c r="K85" s="1"/>
      <c r="M85" s="159"/>
    </row>
    <row r="86" spans="1:13" x14ac:dyDescent="0.25">
      <c r="A86" s="104" t="s">
        <v>75</v>
      </c>
      <c r="B86" s="145">
        <v>45844</v>
      </c>
      <c r="C86" s="145">
        <v>45949</v>
      </c>
      <c r="D86" s="146" t="b">
        <f>ISBLANK(B86)</f>
        <v>0</v>
      </c>
      <c r="E86" s="146" t="b">
        <f>ISBLANK(C86)</f>
        <v>0</v>
      </c>
      <c r="F86" s="146" t="str">
        <f t="shared" ref="F86:F91" si="0">CONCATENATE(D86,E86)</f>
        <v>FAUXFAUX</v>
      </c>
      <c r="G86" s="147">
        <v>105</v>
      </c>
      <c r="H86" s="147"/>
      <c r="I86" s="148">
        <f>$C$70*$G86</f>
        <v>18958.333333333336</v>
      </c>
      <c r="J86" s="1"/>
      <c r="K86" s="1"/>
    </row>
    <row r="87" spans="1:13" x14ac:dyDescent="0.25">
      <c r="A87" s="104" t="s">
        <v>75</v>
      </c>
      <c r="B87" s="145"/>
      <c r="C87" s="145"/>
      <c r="D87" s="146" t="b">
        <f t="shared" ref="D87:E91" si="1">ISBLANK(B87)</f>
        <v>1</v>
      </c>
      <c r="E87" s="146" t="b">
        <f t="shared" si="1"/>
        <v>1</v>
      </c>
      <c r="F87" s="146" t="str">
        <f t="shared" si="0"/>
        <v>VRAIVRAI</v>
      </c>
      <c r="G87" s="147">
        <v>0</v>
      </c>
      <c r="H87" s="147"/>
      <c r="I87" s="148">
        <f t="shared" ref="I87:I91" si="2">$C$70*$G87</f>
        <v>0</v>
      </c>
      <c r="J87" s="1"/>
      <c r="K87" s="1"/>
    </row>
    <row r="88" spans="1:13" x14ac:dyDescent="0.25">
      <c r="A88" s="104" t="s">
        <v>75</v>
      </c>
      <c r="B88" s="145"/>
      <c r="C88" s="145"/>
      <c r="D88" s="146" t="b">
        <f t="shared" si="1"/>
        <v>1</v>
      </c>
      <c r="E88" s="146" t="b">
        <f t="shared" si="1"/>
        <v>1</v>
      </c>
      <c r="F88" s="146" t="str">
        <f t="shared" si="0"/>
        <v>VRAIVRAI</v>
      </c>
      <c r="G88" s="147">
        <v>0</v>
      </c>
      <c r="H88" s="147"/>
      <c r="I88" s="148">
        <f t="shared" si="2"/>
        <v>0</v>
      </c>
      <c r="J88" s="1"/>
      <c r="K88" s="1"/>
    </row>
    <row r="89" spans="1:13" x14ac:dyDescent="0.25">
      <c r="A89" s="104" t="s">
        <v>75</v>
      </c>
      <c r="B89" s="145"/>
      <c r="C89" s="145"/>
      <c r="D89" s="146" t="b">
        <f t="shared" si="1"/>
        <v>1</v>
      </c>
      <c r="E89" s="146" t="b">
        <f t="shared" si="1"/>
        <v>1</v>
      </c>
      <c r="F89" s="146" t="str">
        <f t="shared" si="0"/>
        <v>VRAIVRAI</v>
      </c>
      <c r="G89" s="147">
        <v>0</v>
      </c>
      <c r="H89" s="147"/>
      <c r="I89" s="148">
        <f t="shared" si="2"/>
        <v>0</v>
      </c>
      <c r="J89" s="1"/>
      <c r="K89" s="1"/>
    </row>
    <row r="90" spans="1:13" x14ac:dyDescent="0.25">
      <c r="A90" s="104" t="s">
        <v>75</v>
      </c>
      <c r="B90" s="145"/>
      <c r="C90" s="145"/>
      <c r="D90" s="146" t="b">
        <f t="shared" si="1"/>
        <v>1</v>
      </c>
      <c r="E90" s="146" t="b">
        <f t="shared" si="1"/>
        <v>1</v>
      </c>
      <c r="F90" s="146" t="str">
        <f t="shared" si="0"/>
        <v>VRAIVRAI</v>
      </c>
      <c r="G90" s="147">
        <v>0</v>
      </c>
      <c r="H90" s="147"/>
      <c r="I90" s="148">
        <f t="shared" si="2"/>
        <v>0</v>
      </c>
      <c r="J90" s="1"/>
      <c r="K90" s="1"/>
    </row>
    <row r="91" spans="1:13" x14ac:dyDescent="0.25">
      <c r="A91" s="104" t="s">
        <v>75</v>
      </c>
      <c r="B91" s="145"/>
      <c r="C91" s="145"/>
      <c r="D91" s="146" t="b">
        <f t="shared" si="1"/>
        <v>1</v>
      </c>
      <c r="E91" s="146" t="b">
        <f t="shared" si="1"/>
        <v>1</v>
      </c>
      <c r="F91" s="146" t="str">
        <f t="shared" si="0"/>
        <v>VRAIVRAI</v>
      </c>
      <c r="G91" s="147">
        <v>0</v>
      </c>
      <c r="H91" s="147"/>
      <c r="I91" s="148">
        <f t="shared" si="2"/>
        <v>0</v>
      </c>
      <c r="J91" s="1"/>
      <c r="K91" s="1"/>
    </row>
    <row r="92" spans="1:13" x14ac:dyDescent="0.25">
      <c r="A92" s="104" t="s">
        <v>76</v>
      </c>
      <c r="B92" s="31"/>
      <c r="C92" s="31"/>
      <c r="D92" s="31"/>
      <c r="E92" s="31"/>
      <c r="F92" s="31"/>
      <c r="G92" s="31"/>
      <c r="H92" s="31"/>
      <c r="I92" s="149">
        <f>SUM(I86:I91)</f>
        <v>18958.333333333336</v>
      </c>
      <c r="J92" s="1"/>
      <c r="K92" s="1"/>
    </row>
    <row r="93" spans="1:13" ht="15.75" thickBot="1" x14ac:dyDescent="0.3">
      <c r="A93" s="143" t="s">
        <v>77</v>
      </c>
      <c r="B93" s="31"/>
      <c r="C93" s="38">
        <v>1.23</v>
      </c>
      <c r="D93" s="38"/>
      <c r="E93" s="38"/>
      <c r="F93" s="38"/>
      <c r="G93" s="31"/>
      <c r="H93" s="31"/>
      <c r="I93" s="150">
        <f>I92*C93</f>
        <v>23318.750000000004</v>
      </c>
      <c r="J93" s="1"/>
      <c r="K93" s="1"/>
    </row>
    <row r="94" spans="1:13" ht="16.5" thickTop="1" thickBot="1" x14ac:dyDescent="0.3">
      <c r="A94" s="12"/>
      <c r="B94" s="31"/>
      <c r="C94" s="31"/>
      <c r="D94" s="31"/>
      <c r="E94" s="31"/>
      <c r="F94" s="31"/>
      <c r="G94" s="31"/>
      <c r="H94" s="31"/>
      <c r="I94" s="22"/>
      <c r="J94" s="1"/>
      <c r="K94" s="1"/>
    </row>
    <row r="95" spans="1:13" ht="39" customHeight="1" thickBot="1" x14ac:dyDescent="0.3">
      <c r="A95" s="151" t="s">
        <v>78</v>
      </c>
      <c r="B95" s="152"/>
      <c r="C95" s="153">
        <f>SUM(C76-I93)</f>
        <v>289.03559999999925</v>
      </c>
      <c r="D95" s="154"/>
      <c r="E95" s="154"/>
      <c r="F95" s="154"/>
      <c r="G95" s="163" t="s">
        <v>79</v>
      </c>
      <c r="H95" s="163"/>
      <c r="I95" s="164"/>
      <c r="J95" s="1"/>
      <c r="K95" s="1"/>
    </row>
    <row r="96" spans="1:13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</sheetData>
  <sheetProtection sheet="1" objects="1" scenarios="1"/>
  <protectedRanges>
    <protectedRange sqref="B8:B12 H8:H9 H11 B62:B66 H62:H63 B86:C91" name="Plage5_2"/>
    <protectedRange sqref="H63" name="Plage3_2"/>
    <protectedRange password="DE77" sqref="H62 B8 H8 B62" name="Plage1_3_2"/>
    <protectedRange sqref="H8:H9" name="Plage2_2"/>
    <protectedRange sqref="H11" name="Plage4_2"/>
  </protectedRanges>
  <mergeCells count="7">
    <mergeCell ref="G95:I95"/>
    <mergeCell ref="B1:I2"/>
    <mergeCell ref="A79:I79"/>
    <mergeCell ref="B84:B85"/>
    <mergeCell ref="C84:C85"/>
    <mergeCell ref="G84:G85"/>
    <mergeCell ref="I84:I85"/>
  </mergeCells>
  <dataValidations count="3">
    <dataValidation type="decimal" operator="lessThanOrEqual" allowBlank="1" showInputMessage="1" showErrorMessage="1" errorTitle="Plafond traitement annuel" error="Le salaire annuel brut assuré est plafonné à CHF 148'200.00 /ou 12'350 par mois" sqref="B66 B12" xr:uid="{B36D169D-158E-4578-A51E-24AE42C9773F}">
      <formula1>148200</formula1>
    </dataValidation>
    <dataValidation type="date" allowBlank="1" showInputMessage="1" showErrorMessage="1" errorTitle="Erreur de saisie" error="Format de saisie jj.mm.aaaa_x000a_Exemple : 01.01.2009" sqref="B86:B91" xr:uid="{22A1F663-EE68-4CB7-B5C3-3205B545D5B8}">
      <formula1>36526</formula1>
      <formula2>73415</formula2>
    </dataValidation>
    <dataValidation type="date" allowBlank="1" showInputMessage="1" showErrorMessage="1" errorTitle="Erreur de saisie" error="Format de saisie jj.mm.aaaa_x000a_Exemple : 31.12.2010" sqref="C86:C91" xr:uid="{BD5E0C8C-B5BF-4824-A03B-70DC08350BEC}">
      <formula1>36526</formula1>
      <formula2>73415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Université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Kavitha Yemane-Benedict</dc:creator>
  <cp:lastModifiedBy>Amandine Janin</cp:lastModifiedBy>
  <cp:lastPrinted>2018-06-04T05:56:19Z</cp:lastPrinted>
  <dcterms:created xsi:type="dcterms:W3CDTF">2018-06-01T07:29:04Z</dcterms:created>
  <dcterms:modified xsi:type="dcterms:W3CDTF">2025-07-29T08:17:25Z</dcterms:modified>
</cp:coreProperties>
</file>